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autoCompressPictures="0"/>
  <bookViews>
    <workbookView xWindow="0" yWindow="0" windowWidth="25605" windowHeight="16065"/>
  </bookViews>
  <sheets>
    <sheet name="Cover Page" sheetId="4" r:id="rId1"/>
    <sheet name="Cost Detail" sheetId="1" r:id="rId2"/>
    <sheet name="Benefit Detail" sheetId="2" r:id="rId3"/>
    <sheet name="Ratio Analysis" sheetId="3" r:id="rId4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K13" i="3"/>
  <c r="C13" i="3"/>
  <c r="L16" i="2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L15" i="2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L17" i="2"/>
  <c r="B13" i="3"/>
  <c r="K20" i="1"/>
  <c r="E17" i="1"/>
  <c r="E16" i="1"/>
  <c r="C5" i="1"/>
  <c r="B5" i="1"/>
  <c r="E27" i="1"/>
  <c r="E26" i="1"/>
  <c r="E25" i="1"/>
  <c r="E24" i="1"/>
  <c r="E23" i="1"/>
  <c r="E18" i="1"/>
  <c r="E15" i="1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J31" i="2"/>
  <c r="AG14" i="3"/>
  <c r="AG26" i="3"/>
  <c r="B11" i="3"/>
  <c r="G24" i="3"/>
  <c r="C24" i="3"/>
  <c r="J14" i="3"/>
  <c r="J26" i="3"/>
  <c r="R14" i="3"/>
  <c r="R26" i="3"/>
  <c r="Z14" i="3"/>
  <c r="Z26" i="3"/>
  <c r="G14" i="3"/>
  <c r="G26" i="3"/>
  <c r="O14" i="3"/>
  <c r="O26" i="3"/>
  <c r="W14" i="3"/>
  <c r="W26" i="3"/>
  <c r="AI14" i="3"/>
  <c r="AI26" i="3"/>
  <c r="H14" i="3"/>
  <c r="H26" i="3"/>
  <c r="L14" i="3"/>
  <c r="L26" i="3"/>
  <c r="P14" i="3"/>
  <c r="P26" i="3"/>
  <c r="T14" i="3"/>
  <c r="T26" i="3"/>
  <c r="X14" i="3"/>
  <c r="X26" i="3"/>
  <c r="AB14" i="3"/>
  <c r="AB26" i="3"/>
  <c r="AF14" i="3"/>
  <c r="AF26" i="3"/>
  <c r="N14" i="3"/>
  <c r="N26" i="3"/>
  <c r="V14" i="3"/>
  <c r="V26" i="3"/>
  <c r="AD14" i="3"/>
  <c r="AD26" i="3"/>
  <c r="AH14" i="3"/>
  <c r="AH26" i="3"/>
  <c r="K14" i="3"/>
  <c r="K26" i="3"/>
  <c r="S14" i="3"/>
  <c r="S26" i="3"/>
  <c r="AA14" i="3"/>
  <c r="AA26" i="3"/>
  <c r="AE14" i="3"/>
  <c r="AE26" i="3"/>
  <c r="I14" i="3"/>
  <c r="I26" i="3"/>
  <c r="M14" i="3"/>
  <c r="M26" i="3"/>
  <c r="Q14" i="3"/>
  <c r="Q26" i="3"/>
  <c r="U14" i="3"/>
  <c r="U26" i="3"/>
  <c r="Y14" i="3"/>
  <c r="Y26" i="3"/>
  <c r="AC14" i="3"/>
  <c r="AC26" i="3"/>
  <c r="AI25" i="3"/>
  <c r="E41" i="1"/>
  <c r="E43" i="1"/>
  <c r="C26" i="3"/>
  <c r="C14" i="3"/>
  <c r="B14" i="3"/>
  <c r="L25" i="3"/>
  <c r="P25" i="3"/>
  <c r="T25" i="3"/>
  <c r="AH6" i="3"/>
  <c r="AH19" i="3"/>
  <c r="H25" i="3"/>
  <c r="X25" i="3"/>
  <c r="G6" i="3"/>
  <c r="S6" i="3"/>
  <c r="S19" i="3"/>
  <c r="AB25" i="3"/>
  <c r="AF25" i="3"/>
  <c r="H6" i="3"/>
  <c r="H19" i="3"/>
  <c r="L6" i="3"/>
  <c r="L19" i="3"/>
  <c r="P6" i="3"/>
  <c r="P19" i="3"/>
  <c r="T6" i="3"/>
  <c r="T19" i="3"/>
  <c r="X6" i="3"/>
  <c r="X19" i="3"/>
  <c r="AB6" i="3"/>
  <c r="AB19" i="3"/>
  <c r="AF6" i="3"/>
  <c r="AF19" i="3"/>
  <c r="I25" i="3"/>
  <c r="M25" i="3"/>
  <c r="Q25" i="3"/>
  <c r="U25" i="3"/>
  <c r="Y25" i="3"/>
  <c r="AC25" i="3"/>
  <c r="AG25" i="3"/>
  <c r="K6" i="3"/>
  <c r="K19" i="3"/>
  <c r="W6" i="3"/>
  <c r="W19" i="3"/>
  <c r="AI6" i="3"/>
  <c r="AI19" i="3"/>
  <c r="I6" i="3"/>
  <c r="I19" i="3"/>
  <c r="M6" i="3"/>
  <c r="M19" i="3"/>
  <c r="Q6" i="3"/>
  <c r="Q19" i="3"/>
  <c r="U6" i="3"/>
  <c r="U19" i="3"/>
  <c r="Y6" i="3"/>
  <c r="Y19" i="3"/>
  <c r="AC6" i="3"/>
  <c r="AC19" i="3"/>
  <c r="AG6" i="3"/>
  <c r="AG19" i="3"/>
  <c r="J25" i="3"/>
  <c r="N25" i="3"/>
  <c r="R25" i="3"/>
  <c r="V25" i="3"/>
  <c r="Z25" i="3"/>
  <c r="AD25" i="3"/>
  <c r="AH25" i="3"/>
  <c r="O6" i="3"/>
  <c r="O19" i="3"/>
  <c r="AA6" i="3"/>
  <c r="AA19" i="3"/>
  <c r="J6" i="3"/>
  <c r="J19" i="3"/>
  <c r="N6" i="3"/>
  <c r="N19" i="3"/>
  <c r="R6" i="3"/>
  <c r="R19" i="3"/>
  <c r="V6" i="3"/>
  <c r="V19" i="3"/>
  <c r="Z6" i="3"/>
  <c r="Z19" i="3"/>
  <c r="AD6" i="3"/>
  <c r="AD19" i="3"/>
  <c r="G25" i="3"/>
  <c r="K25" i="3"/>
  <c r="O25" i="3"/>
  <c r="S25" i="3"/>
  <c r="W25" i="3"/>
  <c r="AA25" i="3"/>
  <c r="AE25" i="3"/>
  <c r="B18" i="2"/>
  <c r="B10" i="2"/>
  <c r="B20" i="2"/>
  <c r="D17" i="2"/>
  <c r="D15" i="2"/>
  <c r="D16" i="2"/>
  <c r="D18" i="2"/>
  <c r="D9" i="2"/>
  <c r="D7" i="2"/>
  <c r="D8" i="2"/>
  <c r="D10" i="2"/>
  <c r="K28" i="1"/>
  <c r="K30" i="1"/>
  <c r="E28" i="1"/>
  <c r="E20" i="1"/>
  <c r="I7" i="1"/>
  <c r="C7" i="1"/>
  <c r="B7" i="1"/>
  <c r="D6" i="1"/>
  <c r="D5" i="1"/>
  <c r="G19" i="3"/>
  <c r="C25" i="3"/>
  <c r="D7" i="1"/>
  <c r="G18" i="3"/>
  <c r="E30" i="1"/>
  <c r="D5" i="3"/>
  <c r="B5" i="3"/>
  <c r="D20" i="2"/>
  <c r="AH10" i="3"/>
  <c r="AH23" i="3"/>
  <c r="AD10" i="3"/>
  <c r="AD23" i="3"/>
  <c r="Z10" i="3"/>
  <c r="Z23" i="3"/>
  <c r="V10" i="3"/>
  <c r="V23" i="3"/>
  <c r="R10" i="3"/>
  <c r="R23" i="3"/>
  <c r="N10" i="3"/>
  <c r="N23" i="3"/>
  <c r="J10" i="3"/>
  <c r="J23" i="3"/>
  <c r="AF10" i="3"/>
  <c r="AF23" i="3"/>
  <c r="AB10" i="3"/>
  <c r="AB23" i="3"/>
  <c r="X10" i="3"/>
  <c r="X23" i="3"/>
  <c r="T10" i="3"/>
  <c r="T23" i="3"/>
  <c r="P10" i="3"/>
  <c r="P23" i="3"/>
  <c r="L10" i="3"/>
  <c r="L23" i="3"/>
  <c r="H10" i="3"/>
  <c r="H23" i="3"/>
  <c r="AI10" i="3"/>
  <c r="AI23" i="3"/>
  <c r="AE10" i="3"/>
  <c r="AE23" i="3"/>
  <c r="AA10" i="3"/>
  <c r="AA23" i="3"/>
  <c r="W10" i="3"/>
  <c r="W23" i="3"/>
  <c r="S10" i="3"/>
  <c r="S23" i="3"/>
  <c r="O10" i="3"/>
  <c r="O23" i="3"/>
  <c r="K10" i="3"/>
  <c r="K23" i="3"/>
  <c r="G10" i="3"/>
  <c r="AG10" i="3"/>
  <c r="AG23" i="3"/>
  <c r="AC10" i="3"/>
  <c r="AC23" i="3"/>
  <c r="Y10" i="3"/>
  <c r="Y23" i="3"/>
  <c r="U10" i="3"/>
  <c r="U23" i="3"/>
  <c r="Q10" i="3"/>
  <c r="Q23" i="3"/>
  <c r="M10" i="3"/>
  <c r="M23" i="3"/>
  <c r="I10" i="3"/>
  <c r="I23" i="3"/>
  <c r="AE6" i="3"/>
  <c r="B6" i="3"/>
  <c r="B12" i="3"/>
  <c r="C12" i="3"/>
  <c r="C11" i="3"/>
  <c r="B10" i="3"/>
  <c r="G23" i="3"/>
  <c r="C23" i="3"/>
  <c r="C27" i="3"/>
  <c r="B7" i="3"/>
  <c r="C6" i="3"/>
  <c r="AE19" i="3"/>
  <c r="C19" i="3"/>
  <c r="C10" i="3"/>
  <c r="C15" i="3"/>
  <c r="B15" i="3"/>
  <c r="C5" i="3"/>
  <c r="C7" i="3"/>
  <c r="C17" i="3"/>
  <c r="F18" i="3"/>
  <c r="C18" i="3"/>
  <c r="C20" i="3"/>
  <c r="C29" i="3"/>
  <c r="B17" i="3"/>
</calcChain>
</file>

<file path=xl/sharedStrings.xml><?xml version="1.0" encoding="utf-8"?>
<sst xmlns="http://schemas.openxmlformats.org/spreadsheetml/2006/main" count="136" uniqueCount="99">
  <si>
    <t>Underline BCA Assumptions</t>
  </si>
  <si>
    <t>Costs</t>
  </si>
  <si>
    <t>Capital</t>
  </si>
  <si>
    <t>Eligible</t>
  </si>
  <si>
    <t>Non-eligible</t>
  </si>
  <si>
    <t>Total</t>
  </si>
  <si>
    <t>Phase 6</t>
  </si>
  <si>
    <t>Phase 7</t>
  </si>
  <si>
    <t>Miles</t>
  </si>
  <si>
    <t>Limits</t>
  </si>
  <si>
    <t>Granada - SW 57th Ave</t>
  </si>
  <si>
    <t>SW 42nd Ave - SW 57th Ave</t>
  </si>
  <si>
    <t>Capital Cost Detail</t>
  </si>
  <si>
    <t>Pedestrian and Bycycle Path Construction</t>
  </si>
  <si>
    <t>Permits</t>
  </si>
  <si>
    <t>Environmental Remediation</t>
  </si>
  <si>
    <t>Intersection Improvements</t>
  </si>
  <si>
    <t>New Bridge Next to Riviera Drive</t>
  </si>
  <si>
    <t>Eligible Costs</t>
  </si>
  <si>
    <t>Sub-Total</t>
  </si>
  <si>
    <t>Non-Eligible Costs</t>
  </si>
  <si>
    <t>Landscaping, Signage, Lighting, Amenities</t>
  </si>
  <si>
    <t>CE&amp;I Consultant</t>
  </si>
  <si>
    <t>Boneted Bat Survey</t>
  </si>
  <si>
    <t>Limited Phase 2 Environmental+Ground Water</t>
  </si>
  <si>
    <t>Environmental Monitoring</t>
  </si>
  <si>
    <t>Benefit Details</t>
  </si>
  <si>
    <t>Safety</t>
  </si>
  <si>
    <t>Deaths</t>
  </si>
  <si>
    <t xml:space="preserve">Reduction </t>
  </si>
  <si>
    <t>Major Accidents</t>
  </si>
  <si>
    <t>Minor Accidents</t>
  </si>
  <si>
    <t>$Value</t>
  </si>
  <si>
    <t>Bicycle</t>
  </si>
  <si>
    <t>Severe Accidents</t>
  </si>
  <si>
    <t xml:space="preserve">Pedestrian </t>
  </si>
  <si>
    <t>Coral Gables</t>
  </si>
  <si>
    <t>Total SF</t>
  </si>
  <si>
    <t>Property Value Assessed</t>
  </si>
  <si>
    <t>10+ Million</t>
  </si>
  <si>
    <t>Incremental Growth in Assessed Value (Low-High Range)</t>
  </si>
  <si>
    <t>Jurisdiction</t>
  </si>
  <si>
    <t>Miami</t>
  </si>
  <si>
    <t>50+ Million</t>
  </si>
  <si>
    <t>South Miami</t>
  </si>
  <si>
    <t>Miami-Dade County</t>
  </si>
  <si>
    <t>5+ Million</t>
  </si>
  <si>
    <t>8+ Million</t>
  </si>
  <si>
    <t>Annual/Ongoing Operations &amp; Maintenance (Programming Approach)</t>
  </si>
  <si>
    <t>Per Acre</t>
  </si>
  <si>
    <t>Total Miles for Underline</t>
  </si>
  <si>
    <t>Total O&amp;M for Underline</t>
  </si>
  <si>
    <t>Benefits</t>
  </si>
  <si>
    <t>Capital Costs</t>
  </si>
  <si>
    <t>New Development</t>
  </si>
  <si>
    <t>Potential New SF</t>
  </si>
  <si>
    <t>20+ Million</t>
  </si>
  <si>
    <t>Estimated Taxable Value</t>
  </si>
  <si>
    <t>Incremental Assessed Value</t>
  </si>
  <si>
    <t>Annual Incremental Fiscal Revenue</t>
  </si>
  <si>
    <t>Existing Real Estate</t>
  </si>
  <si>
    <t>BCA Ratio</t>
  </si>
  <si>
    <t>Discount Factor</t>
  </si>
  <si>
    <t>Traffic Savings</t>
  </si>
  <si>
    <t>Vehicle Reduction</t>
  </si>
  <si>
    <t>$/Mile</t>
  </si>
  <si>
    <t>Days/Year</t>
  </si>
  <si>
    <t>Vehicular Savings (Traffic Reduction)</t>
  </si>
  <si>
    <t>Cash Flow Ratio Analysis 30-Year Time Horizon</t>
  </si>
  <si>
    <t>Total Miles</t>
  </si>
  <si>
    <t>Other Taxing Entities (Schools, etc.)</t>
  </si>
  <si>
    <t>75+ Million</t>
  </si>
  <si>
    <t>Segment 6</t>
  </si>
  <si>
    <t>Segment 6 Miles</t>
  </si>
  <si>
    <t>Segment 6 Costs</t>
  </si>
  <si>
    <t>Total Savings Per Year</t>
  </si>
  <si>
    <t>Existing Real Estate Property Tax Revenue Increase for Segment 6</t>
  </si>
  <si>
    <t>Total Annual Tax Revenue from Increased Property Values Segment 6</t>
  </si>
  <si>
    <t>Estimated New Development Property Tax Revenue Increase Segement 6</t>
  </si>
  <si>
    <t>Existing Real Estate Value Increase - Property Tax</t>
  </si>
  <si>
    <t>New Development Value Increase - Property Tax</t>
  </si>
  <si>
    <t>New Development on County Property</t>
  </si>
  <si>
    <t>Incremental Growth in Property Taxes                 (Low-High Range)</t>
  </si>
  <si>
    <t>County Incremental Revenue</t>
  </si>
  <si>
    <t>Safety (Based on MAIS) Per Year - Segment 6</t>
  </si>
  <si>
    <t>Segment 6 Share</t>
  </si>
  <si>
    <t>Future Dollars</t>
  </si>
  <si>
    <t>Real Dollars</t>
  </si>
  <si>
    <t>Annual Operations and Maintenance</t>
  </si>
  <si>
    <t>2017 Base Year</t>
  </si>
  <si>
    <t>Annual Operations and Maintenance Costs for Segment 6</t>
  </si>
  <si>
    <t>Calculation for the Full Underline</t>
  </si>
  <si>
    <t>Underline Estimate Operations and Maintenance Costs</t>
  </si>
  <si>
    <t>The Underline - Segment 6</t>
  </si>
  <si>
    <t>BUILD Grant FY 2018</t>
  </si>
  <si>
    <t>Appendix A</t>
  </si>
  <si>
    <t>Supporting Worksheet</t>
  </si>
  <si>
    <t>Benefit Cost Analysis Report</t>
  </si>
  <si>
    <t>(Excel 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</si>
</sst>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_);_(&quot;$&quot;* \(#,##0\);_(&quot;$&quot;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0" fontId="0" fillId="0" borderId="0" xfId="0" applyBorder="1"/>
    <xf numFmtId="0" fontId="0" fillId="0" borderId="7" xfId="0" applyBorder="1"/>
    <xf numFmtId="0" fontId="0" fillId="0" borderId="11" xfId="0" applyBorder="1"/>
    <xf numFmtId="0" fontId="0" fillId="0" borderId="2" xfId="0" applyBorder="1"/>
    <xf numFmtId="164" fontId="0" fillId="0" borderId="2" xfId="1" applyNumberFormat="1" applyFont="1" applyBorder="1"/>
    <xf numFmtId="0" fontId="3" fillId="0" borderId="2" xfId="0" applyFont="1" applyBorder="1"/>
    <xf numFmtId="0" fontId="3" fillId="0" borderId="12" xfId="0" applyFont="1" applyBorder="1"/>
    <xf numFmtId="0" fontId="0" fillId="0" borderId="2" xfId="0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/>
    <xf numFmtId="164" fontId="3" fillId="0" borderId="0" xfId="1" applyNumberFormat="1" applyFont="1" applyBorder="1"/>
    <xf numFmtId="164" fontId="0" fillId="0" borderId="6" xfId="0" applyNumberFormat="1" applyBorder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3" borderId="19" xfId="0" applyNumberFormat="1" applyFont="1" applyFill="1" applyBorder="1"/>
    <xf numFmtId="0" fontId="5" fillId="3" borderId="19" xfId="0" applyFont="1" applyFill="1" applyBorder="1"/>
    <xf numFmtId="164" fontId="3" fillId="4" borderId="19" xfId="0" applyNumberFormat="1" applyFont="1" applyFill="1" applyBorder="1"/>
    <xf numFmtId="0" fontId="3" fillId="4" borderId="19" xfId="0" applyFont="1" applyFill="1" applyBorder="1"/>
    <xf numFmtId="164" fontId="5" fillId="4" borderId="19" xfId="0" applyNumberFormat="1" applyFont="1" applyFill="1" applyBorder="1"/>
    <xf numFmtId="0" fontId="5" fillId="4" borderId="1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7" fillId="3" borderId="6" xfId="0" applyFont="1" applyFill="1" applyBorder="1"/>
    <xf numFmtId="164" fontId="7" fillId="3" borderId="0" xfId="1" applyNumberFormat="1" applyFont="1" applyFill="1" applyBorder="1"/>
    <xf numFmtId="0" fontId="7" fillId="3" borderId="0" xfId="0" applyFont="1" applyFill="1" applyBorder="1"/>
    <xf numFmtId="0" fontId="7" fillId="3" borderId="14" xfId="0" applyFont="1" applyFill="1" applyBorder="1"/>
    <xf numFmtId="0" fontId="7" fillId="3" borderId="1" xfId="0" applyFont="1" applyFill="1" applyBorder="1"/>
    <xf numFmtId="6" fontId="7" fillId="3" borderId="1" xfId="0" applyNumberFormat="1" applyFont="1" applyFill="1" applyBorder="1"/>
    <xf numFmtId="0" fontId="7" fillId="3" borderId="7" xfId="0" applyFont="1" applyFill="1" applyBorder="1"/>
    <xf numFmtId="0" fontId="8" fillId="3" borderId="0" xfId="0" applyFont="1" applyFill="1" applyBorder="1"/>
    <xf numFmtId="6" fontId="7" fillId="3" borderId="0" xfId="0" applyNumberFormat="1" applyFont="1" applyFill="1" applyBorder="1"/>
    <xf numFmtId="0" fontId="7" fillId="4" borderId="6" xfId="0" applyFont="1" applyFill="1" applyBorder="1"/>
    <xf numFmtId="0" fontId="7" fillId="4" borderId="0" xfId="0" applyFont="1" applyFill="1" applyBorder="1"/>
    <xf numFmtId="6" fontId="7" fillId="4" borderId="0" xfId="0" applyNumberFormat="1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8" fillId="3" borderId="6" xfId="0" applyFont="1" applyFill="1" applyBorder="1"/>
    <xf numFmtId="0" fontId="3" fillId="3" borderId="0" xfId="0" applyFont="1" applyFill="1" applyBorder="1"/>
    <xf numFmtId="0" fontId="0" fillId="0" borderId="0" xfId="0" applyBorder="1" applyAlignment="1">
      <alignment horizontal="center"/>
    </xf>
    <xf numFmtId="164" fontId="0" fillId="0" borderId="22" xfId="0" applyNumberFormat="1" applyBorder="1" applyAlignment="1"/>
    <xf numFmtId="164" fontId="0" fillId="0" borderId="23" xfId="0" applyNumberFormat="1" applyBorder="1" applyAlignment="1"/>
    <xf numFmtId="164" fontId="0" fillId="0" borderId="24" xfId="0" applyNumberFormat="1" applyBorder="1"/>
    <xf numFmtId="0" fontId="0" fillId="4" borderId="11" xfId="0" applyFill="1" applyBorder="1"/>
    <xf numFmtId="164" fontId="0" fillId="4" borderId="11" xfId="1" applyNumberFormat="1" applyFont="1" applyFill="1" applyBorder="1"/>
    <xf numFmtId="0" fontId="0" fillId="4" borderId="13" xfId="0" applyFill="1" applyBorder="1"/>
    <xf numFmtId="0" fontId="0" fillId="0" borderId="6" xfId="0" applyBorder="1"/>
    <xf numFmtId="0" fontId="3" fillId="0" borderId="6" xfId="0" applyFont="1" applyBorder="1"/>
    <xf numFmtId="0" fontId="3" fillId="0" borderId="7" xfId="0" applyFont="1" applyBorder="1"/>
    <xf numFmtId="0" fontId="0" fillId="0" borderId="6" xfId="0" applyBorder="1" applyAlignment="1">
      <alignment horizontal="left" indent="1"/>
    </xf>
    <xf numFmtId="0" fontId="0" fillId="4" borderId="6" xfId="0" applyFill="1" applyBorder="1" applyAlignment="1">
      <alignment horizontal="left" indent="1"/>
    </xf>
    <xf numFmtId="0" fontId="3" fillId="4" borderId="6" xfId="0" applyFont="1" applyFill="1" applyBorder="1"/>
    <xf numFmtId="0" fontId="2" fillId="2" borderId="16" xfId="0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0" fillId="4" borderId="6" xfId="0" applyFill="1" applyBorder="1"/>
    <xf numFmtId="0" fontId="0" fillId="4" borderId="0" xfId="0" applyFill="1" applyBorder="1"/>
    <xf numFmtId="9" fontId="0" fillId="4" borderId="7" xfId="0" applyNumberFormat="1" applyFill="1" applyBorder="1"/>
    <xf numFmtId="0" fontId="0" fillId="4" borderId="16" xfId="0" applyFill="1" applyBorder="1"/>
    <xf numFmtId="0" fontId="0" fillId="4" borderId="9" xfId="0" applyFill="1" applyBorder="1"/>
    <xf numFmtId="0" fontId="0" fillId="3" borderId="0" xfId="0" applyFill="1"/>
    <xf numFmtId="0" fontId="0" fillId="4" borderId="8" xfId="0" applyFill="1" applyBorder="1"/>
    <xf numFmtId="0" fontId="0" fillId="0" borderId="14" xfId="0" applyBorder="1"/>
    <xf numFmtId="164" fontId="0" fillId="0" borderId="15" xfId="1" applyNumberFormat="1" applyFont="1" applyBorder="1"/>
    <xf numFmtId="164" fontId="0" fillId="4" borderId="10" xfId="1" applyNumberFormat="1" applyFont="1" applyFill="1" applyBorder="1"/>
    <xf numFmtId="164" fontId="0" fillId="4" borderId="28" xfId="1" applyNumberFormat="1" applyFont="1" applyFill="1" applyBorder="1"/>
    <xf numFmtId="164" fontId="0" fillId="4" borderId="29" xfId="1" applyNumberFormat="1" applyFont="1" applyFill="1" applyBorder="1"/>
    <xf numFmtId="0" fontId="2" fillId="2" borderId="30" xfId="0" applyFont="1" applyFill="1" applyBorder="1"/>
    <xf numFmtId="164" fontId="0" fillId="3" borderId="0" xfId="1" applyNumberFormat="1" applyFont="1" applyFill="1"/>
    <xf numFmtId="0" fontId="3" fillId="3" borderId="0" xfId="0" applyFont="1" applyFill="1" applyAlignment="1"/>
    <xf numFmtId="0" fontId="0" fillId="3" borderId="11" xfId="0" applyFill="1" applyBorder="1"/>
    <xf numFmtId="164" fontId="0" fillId="3" borderId="11" xfId="1" applyNumberFormat="1" applyFont="1" applyFill="1" applyBorder="1"/>
    <xf numFmtId="164" fontId="0" fillId="3" borderId="11" xfId="0" applyNumberFormat="1" applyFill="1" applyBorder="1"/>
    <xf numFmtId="164" fontId="0" fillId="4" borderId="24" xfId="0" applyNumberFormat="1" applyFill="1" applyBorder="1"/>
    <xf numFmtId="164" fontId="0" fillId="4" borderId="26" xfId="0" applyNumberFormat="1" applyFill="1" applyBorder="1"/>
    <xf numFmtId="0" fontId="0" fillId="0" borderId="24" xfId="0" applyBorder="1"/>
    <xf numFmtId="0" fontId="0" fillId="0" borderId="25" xfId="0" applyBorder="1"/>
    <xf numFmtId="0" fontId="0" fillId="4" borderId="24" xfId="0" applyFill="1" applyBorder="1"/>
    <xf numFmtId="0" fontId="0" fillId="4" borderId="25" xfId="0" applyFill="1" applyBorder="1"/>
    <xf numFmtId="0" fontId="0" fillId="0" borderId="26" xfId="0" applyBorder="1"/>
    <xf numFmtId="0" fontId="0" fillId="3" borderId="0" xfId="0" applyFill="1" applyBorder="1"/>
    <xf numFmtId="164" fontId="1" fillId="4" borderId="19" xfId="1" applyNumberFormat="1" applyFont="1" applyFill="1" applyBorder="1"/>
    <xf numFmtId="164" fontId="0" fillId="3" borderId="0" xfId="0" applyNumberFormat="1" applyFill="1"/>
    <xf numFmtId="0" fontId="0" fillId="4" borderId="19" xfId="1" applyNumberFormat="1" applyFont="1" applyFill="1" applyBorder="1"/>
    <xf numFmtId="164" fontId="5" fillId="4" borderId="0" xfId="0" applyNumberFormat="1" applyFont="1" applyFill="1" applyBorder="1"/>
    <xf numFmtId="0" fontId="5" fillId="4" borderId="0" xfId="0" applyFont="1" applyFill="1" applyBorder="1"/>
    <xf numFmtId="164" fontId="5" fillId="3" borderId="0" xfId="0" applyNumberFormat="1" applyFont="1" applyFill="1" applyBorder="1"/>
    <xf numFmtId="0" fontId="5" fillId="3" borderId="0" xfId="0" applyFont="1" applyFill="1" applyBorder="1"/>
    <xf numFmtId="164" fontId="9" fillId="3" borderId="0" xfId="1" applyNumberFormat="1" applyFont="1" applyFill="1" applyBorder="1"/>
    <xf numFmtId="0" fontId="9" fillId="3" borderId="0" xfId="0" applyFont="1" applyFill="1" applyBorder="1"/>
    <xf numFmtId="0" fontId="2" fillId="3" borderId="0" xfId="0" applyFont="1" applyFill="1" applyBorder="1"/>
    <xf numFmtId="164" fontId="9" fillId="3" borderId="0" xfId="0" applyNumberFormat="1" applyFont="1" applyFill="1" applyBorder="1"/>
    <xf numFmtId="6" fontId="9" fillId="3" borderId="0" xfId="0" applyNumberFormat="1" applyFont="1" applyFill="1" applyBorder="1"/>
    <xf numFmtId="164" fontId="2" fillId="3" borderId="0" xfId="0" applyNumberFormat="1" applyFont="1" applyFill="1" applyBorder="1"/>
    <xf numFmtId="0" fontId="0" fillId="4" borderId="32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0" fillId="4" borderId="8" xfId="0" applyFont="1" applyFill="1" applyBorder="1"/>
    <xf numFmtId="164" fontId="0" fillId="4" borderId="36" xfId="1" applyNumberFormat="1" applyFont="1" applyFill="1" applyBorder="1"/>
    <xf numFmtId="0" fontId="2" fillId="3" borderId="0" xfId="0" applyFont="1" applyFill="1" applyBorder="1" applyAlignment="1"/>
    <xf numFmtId="0" fontId="2" fillId="3" borderId="6" xfId="0" applyFont="1" applyFill="1" applyBorder="1" applyAlignment="1"/>
    <xf numFmtId="0" fontId="0" fillId="3" borderId="15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9" xfId="0" applyFill="1" applyBorder="1"/>
    <xf numFmtId="164" fontId="0" fillId="3" borderId="0" xfId="1" applyNumberFormat="1" applyFont="1" applyFill="1" applyBorder="1"/>
    <xf numFmtId="0" fontId="2" fillId="3" borderId="31" xfId="0" applyFont="1" applyFill="1" applyBorder="1" applyAlignment="1"/>
    <xf numFmtId="0" fontId="2" fillId="3" borderId="21" xfId="0" applyFont="1" applyFill="1" applyBorder="1" applyAlignment="1"/>
    <xf numFmtId="2" fontId="0" fillId="0" borderId="7" xfId="0" applyNumberFormat="1" applyBorder="1"/>
    <xf numFmtId="165" fontId="7" fillId="3" borderId="7" xfId="2" applyNumberFormat="1" applyFont="1" applyFill="1" applyBorder="1"/>
    <xf numFmtId="165" fontId="7" fillId="4" borderId="7" xfId="2" applyNumberFormat="1" applyFont="1" applyFill="1" applyBorder="1"/>
    <xf numFmtId="165" fontId="7" fillId="3" borderId="15" xfId="2" applyNumberFormat="1" applyFont="1" applyFill="1" applyBorder="1"/>
    <xf numFmtId="165" fontId="8" fillId="3" borderId="7" xfId="2" applyNumberFormat="1" applyFont="1" applyFill="1" applyBorder="1"/>
    <xf numFmtId="165" fontId="8" fillId="4" borderId="10" xfId="2" applyNumberFormat="1" applyFont="1" applyFill="1" applyBorder="1"/>
    <xf numFmtId="164" fontId="0" fillId="4" borderId="17" xfId="1" applyNumberFormat="1" applyFont="1" applyFill="1" applyBorder="1" applyAlignment="1"/>
    <xf numFmtId="165" fontId="0" fillId="4" borderId="17" xfId="2" applyNumberFormat="1" applyFont="1" applyFill="1" applyBorder="1" applyAlignment="1"/>
    <xf numFmtId="165" fontId="0" fillId="4" borderId="7" xfId="2" applyNumberFormat="1" applyFont="1" applyFill="1" applyBorder="1"/>
    <xf numFmtId="165" fontId="0" fillId="4" borderId="10" xfId="2" applyNumberFormat="1" applyFont="1" applyFill="1" applyBorder="1"/>
    <xf numFmtId="165" fontId="0" fillId="0" borderId="7" xfId="2" applyNumberFormat="1" applyFont="1" applyBorder="1"/>
    <xf numFmtId="165" fontId="3" fillId="0" borderId="7" xfId="2" applyNumberFormat="1" applyFont="1" applyBorder="1"/>
    <xf numFmtId="165" fontId="0" fillId="4" borderId="0" xfId="2" applyNumberFormat="1" applyFont="1" applyFill="1" applyBorder="1"/>
    <xf numFmtId="165" fontId="0" fillId="0" borderId="0" xfId="2" applyNumberFormat="1" applyFont="1" applyBorder="1"/>
    <xf numFmtId="165" fontId="3" fillId="0" borderId="0" xfId="2" applyNumberFormat="1" applyFont="1" applyBorder="1"/>
    <xf numFmtId="44" fontId="0" fillId="0" borderId="25" xfId="2" applyFont="1" applyBorder="1"/>
    <xf numFmtId="165" fontId="0" fillId="4" borderId="25" xfId="2" applyNumberFormat="1" applyFont="1" applyFill="1" applyBorder="1"/>
    <xf numFmtId="165" fontId="0" fillId="0" borderId="25" xfId="2" applyNumberFormat="1" applyFont="1" applyBorder="1"/>
    <xf numFmtId="165" fontId="0" fillId="4" borderId="27" xfId="2" applyNumberFormat="1" applyFont="1" applyFill="1" applyBorder="1"/>
    <xf numFmtId="165" fontId="5" fillId="3" borderId="19" xfId="2" applyNumberFormat="1" applyFont="1" applyFill="1" applyBorder="1"/>
    <xf numFmtId="165" fontId="3" fillId="4" borderId="19" xfId="2" applyNumberFormat="1" applyFont="1" applyFill="1" applyBorder="1"/>
    <xf numFmtId="165" fontId="5" fillId="4" borderId="19" xfId="2" applyNumberFormat="1" applyFont="1" applyFill="1" applyBorder="1"/>
    <xf numFmtId="165" fontId="5" fillId="3" borderId="0" xfId="2" applyNumberFormat="1" applyFont="1" applyFill="1" applyBorder="1"/>
    <xf numFmtId="165" fontId="5" fillId="4" borderId="0" xfId="2" applyNumberFormat="1" applyFont="1" applyFill="1" applyBorder="1"/>
    <xf numFmtId="165" fontId="1" fillId="4" borderId="19" xfId="2" applyNumberFormat="1" applyFont="1" applyFill="1" applyBorder="1"/>
    <xf numFmtId="165" fontId="0" fillId="3" borderId="0" xfId="2" applyNumberFormat="1" applyFont="1" applyFill="1"/>
    <xf numFmtId="165" fontId="0" fillId="4" borderId="1" xfId="2" applyNumberFormat="1" applyFont="1" applyFill="1" applyBorder="1"/>
    <xf numFmtId="165" fontId="0" fillId="4" borderId="11" xfId="2" applyNumberFormat="1" applyFont="1" applyFill="1" applyBorder="1"/>
    <xf numFmtId="165" fontId="0" fillId="0" borderId="11" xfId="2" applyNumberFormat="1" applyFont="1" applyBorder="1"/>
    <xf numFmtId="165" fontId="0" fillId="4" borderId="13" xfId="2" applyNumberFormat="1" applyFont="1" applyFill="1" applyBorder="1"/>
    <xf numFmtId="165" fontId="0" fillId="3" borderId="11" xfId="2" applyNumberFormat="1" applyFont="1" applyFill="1" applyBorder="1"/>
    <xf numFmtId="165" fontId="3" fillId="0" borderId="12" xfId="2" applyNumberFormat="1" applyFont="1" applyBorder="1"/>
    <xf numFmtId="165" fontId="0" fillId="0" borderId="27" xfId="2" applyNumberFormat="1" applyFont="1" applyBorder="1"/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11" fillId="0" borderId="0" xfId="0" applyFont="1"/>
    <xf numFmtId="164" fontId="11" fillId="0" borderId="0" xfId="1" applyNumberFormat="1" applyFont="1"/>
    <xf numFmtId="0" fontId="0" fillId="0" borderId="0" xfId="0" applyAlignment="1">
      <alignment horizontal="center"/>
    </xf>
    <xf numFmtId="0" fontId="0" fillId="0" borderId="37" xfId="0" applyBorder="1"/>
    <xf numFmtId="0" fontId="0" fillId="0" borderId="38" xfId="0" applyBorder="1"/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0" fillId="0" borderId="39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4" borderId="8" xfId="2" applyNumberFormat="1" applyFont="1" applyFill="1" applyBorder="1" applyAlignment="1">
      <alignment horizontal="center"/>
    </xf>
    <xf numFmtId="165" fontId="0" fillId="4" borderId="10" xfId="2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 indent="2"/>
    </xf>
    <xf numFmtId="0" fontId="0" fillId="3" borderId="0" xfId="0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165" fontId="5" fillId="3" borderId="19" xfId="2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A24" sqref="A24"/>
    </sheetView>
  </sheetViews>
  <sheetFormatPr defaultRowHeight="15" x14ac:dyDescent="0.25"/>
  <cols>
    <col min="1" max="1" width="93.28515625" customWidth="1"/>
  </cols>
  <sheetData>
    <row r="1" spans="1:2" x14ac:dyDescent="0.25">
      <c r="A1" s="151"/>
    </row>
    <row r="2" spans="1:2" x14ac:dyDescent="0.25">
      <c r="A2" s="152"/>
    </row>
    <row r="3" spans="1:2" x14ac:dyDescent="0.25">
      <c r="A3" s="152"/>
    </row>
    <row r="4" spans="1:2" x14ac:dyDescent="0.25">
      <c r="A4" s="152"/>
    </row>
    <row r="5" spans="1:2" x14ac:dyDescent="0.25">
      <c r="A5" s="152"/>
    </row>
    <row r="6" spans="1:2" x14ac:dyDescent="0.25">
      <c r="A6" s="152"/>
    </row>
    <row r="7" spans="1:2" x14ac:dyDescent="0.25">
      <c r="A7" s="152"/>
    </row>
    <row r="8" spans="1:2" x14ac:dyDescent="0.25">
      <c r="A8" s="152"/>
    </row>
    <row r="9" spans="1:2" ht="34.5" x14ac:dyDescent="0.25">
      <c r="A9" s="153" t="s">
        <v>93</v>
      </c>
      <c r="B9" s="150"/>
    </row>
    <row r="10" spans="1:2" ht="34.5" x14ac:dyDescent="0.45">
      <c r="A10" s="154"/>
      <c r="B10" s="150"/>
    </row>
    <row r="11" spans="1:2" ht="34.5" x14ac:dyDescent="0.45">
      <c r="A11" s="154" t="s">
        <v>94</v>
      </c>
      <c r="B11" s="150"/>
    </row>
    <row r="12" spans="1:2" ht="34.5" x14ac:dyDescent="0.45">
      <c r="A12" s="154"/>
      <c r="B12" s="150"/>
    </row>
    <row r="13" spans="1:2" ht="34.5" x14ac:dyDescent="0.45">
      <c r="A13" s="154" t="s">
        <v>95</v>
      </c>
      <c r="B13" s="150"/>
    </row>
    <row r="14" spans="1:2" ht="34.5" x14ac:dyDescent="0.45">
      <c r="A14" s="154"/>
      <c r="B14" s="150"/>
    </row>
    <row r="15" spans="1:2" ht="34.5" x14ac:dyDescent="0.45">
      <c r="A15" s="154" t="s">
        <v>97</v>
      </c>
      <c r="B15" s="150"/>
    </row>
    <row r="16" spans="1:2" ht="34.5" x14ac:dyDescent="0.45">
      <c r="A16" s="154" t="s">
        <v>96</v>
      </c>
      <c r="B16" s="150"/>
    </row>
    <row r="17" spans="1:2" ht="34.5" x14ac:dyDescent="0.45">
      <c r="A17" s="154" t="s">
        <v>98</v>
      </c>
      <c r="B17" s="150"/>
    </row>
    <row r="18" spans="1:2" x14ac:dyDescent="0.25">
      <c r="A18" s="152"/>
    </row>
    <row r="19" spans="1:2" x14ac:dyDescent="0.25">
      <c r="A19" s="152"/>
    </row>
    <row r="20" spans="1:2" x14ac:dyDescent="0.25">
      <c r="A20" s="152"/>
    </row>
    <row r="21" spans="1:2" x14ac:dyDescent="0.25">
      <c r="A21" s="152"/>
    </row>
    <row r="22" spans="1:2" x14ac:dyDescent="0.25">
      <c r="A22" s="152"/>
    </row>
    <row r="23" spans="1:2" x14ac:dyDescent="0.25">
      <c r="A23" s="152"/>
    </row>
    <row r="24" spans="1:2" x14ac:dyDescent="0.25">
      <c r="A24" s="152"/>
    </row>
    <row r="25" spans="1:2" x14ac:dyDescent="0.25">
      <c r="A25" s="152"/>
    </row>
    <row r="26" spans="1:2" x14ac:dyDescent="0.25">
      <c r="A26" s="152"/>
    </row>
    <row r="27" spans="1:2" x14ac:dyDescent="0.25">
      <c r="A27" s="152"/>
    </row>
    <row r="28" spans="1:2" x14ac:dyDescent="0.25">
      <c r="A28" s="152"/>
    </row>
    <row r="29" spans="1:2" x14ac:dyDescent="0.25">
      <c r="A29" s="152"/>
    </row>
    <row r="30" spans="1:2" x14ac:dyDescent="0.25">
      <c r="A30" s="152"/>
    </row>
    <row r="31" spans="1:2" ht="15.75" thickBot="1" x14ac:dyDescent="0.3">
      <c r="A31" s="155"/>
    </row>
    <row r="32" spans="1:2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G46" sqref="G46"/>
    </sheetView>
  </sheetViews>
  <sheetFormatPr defaultColWidth="8.85546875" defaultRowHeight="15" x14ac:dyDescent="0.25"/>
  <cols>
    <col min="1" max="1" width="15" customWidth="1"/>
    <col min="2" max="5" width="13.140625" customWidth="1"/>
    <col min="6" max="6" width="3.42578125" customWidth="1"/>
    <col min="7" max="11" width="12.42578125" customWidth="1"/>
  </cols>
  <sheetData>
    <row r="1" spans="1:11" x14ac:dyDescent="0.25">
      <c r="A1" s="173" t="s">
        <v>0</v>
      </c>
      <c r="B1" s="174"/>
      <c r="C1" s="174"/>
      <c r="D1" s="174"/>
      <c r="E1" s="174"/>
      <c r="F1" s="111"/>
      <c r="G1" s="111"/>
      <c r="H1" s="111"/>
      <c r="I1" s="111"/>
      <c r="J1" s="111"/>
      <c r="K1" s="112"/>
    </row>
    <row r="2" spans="1:11" x14ac:dyDescent="0.25">
      <c r="A2" s="173" t="s">
        <v>72</v>
      </c>
      <c r="B2" s="174"/>
      <c r="C2" s="174"/>
      <c r="D2" s="174"/>
      <c r="E2" s="174"/>
      <c r="F2" s="111"/>
      <c r="G2" s="111"/>
      <c r="H2" s="111"/>
      <c r="I2" s="111"/>
      <c r="J2" s="111"/>
      <c r="K2" s="112"/>
    </row>
    <row r="3" spans="1:11" x14ac:dyDescent="0.25">
      <c r="A3" s="176" t="s">
        <v>1</v>
      </c>
      <c r="B3" s="177"/>
      <c r="C3" s="177"/>
      <c r="D3" s="178"/>
      <c r="E3" s="73"/>
      <c r="F3" s="64"/>
      <c r="G3" s="64"/>
      <c r="H3" s="64"/>
      <c r="I3" s="64"/>
      <c r="J3" s="64"/>
      <c r="K3" s="64"/>
    </row>
    <row r="4" spans="1:11" x14ac:dyDescent="0.25">
      <c r="A4" s="99" t="s">
        <v>2</v>
      </c>
      <c r="B4" s="100" t="s">
        <v>3</v>
      </c>
      <c r="C4" s="101" t="s">
        <v>4</v>
      </c>
      <c r="D4" s="71" t="s">
        <v>5</v>
      </c>
      <c r="E4" s="64"/>
      <c r="F4" s="64"/>
      <c r="G4" s="64"/>
      <c r="H4" s="64"/>
      <c r="I4" s="64"/>
      <c r="J4" s="64"/>
      <c r="K4" s="64"/>
    </row>
    <row r="5" spans="1:11" x14ac:dyDescent="0.25">
      <c r="A5" s="102" t="s">
        <v>72</v>
      </c>
      <c r="B5" s="103">
        <f>9120000+B6</f>
        <v>20497000</v>
      </c>
      <c r="C5" s="103">
        <f>1380000+C6</f>
        <v>6003000</v>
      </c>
      <c r="D5" s="68">
        <f>SUM(B5:C5)</f>
        <v>26500000</v>
      </c>
      <c r="E5" s="64"/>
      <c r="F5" s="64"/>
      <c r="G5" s="64"/>
      <c r="H5" s="64"/>
      <c r="I5" s="64"/>
      <c r="J5" s="64"/>
      <c r="K5" s="64"/>
    </row>
    <row r="6" spans="1:11" ht="15.75" hidden="1" thickBot="1" x14ac:dyDescent="0.3">
      <c r="A6" s="66" t="s">
        <v>7</v>
      </c>
      <c r="B6" s="4">
        <v>11377000</v>
      </c>
      <c r="C6" s="4">
        <v>4623000</v>
      </c>
      <c r="D6" s="67">
        <f>SUM(B6:C6)</f>
        <v>16000000</v>
      </c>
      <c r="E6" s="64"/>
      <c r="F6" s="64"/>
      <c r="G6" s="181" t="s">
        <v>10</v>
      </c>
      <c r="H6" s="182"/>
      <c r="I6" s="106">
        <v>1.2</v>
      </c>
      <c r="J6" s="64"/>
      <c r="K6" s="64"/>
    </row>
    <row r="7" spans="1:11" ht="15.75" hidden="1" thickTop="1" x14ac:dyDescent="0.25">
      <c r="A7" s="65" t="s">
        <v>5</v>
      </c>
      <c r="B7" s="69">
        <f>SUM(B5:B6)</f>
        <v>31874000</v>
      </c>
      <c r="C7" s="69">
        <f t="shared" ref="C7:D7" si="0">SUM(C5:C6)</f>
        <v>10626000</v>
      </c>
      <c r="D7" s="70">
        <f t="shared" si="0"/>
        <v>42500000</v>
      </c>
      <c r="E7" s="64"/>
      <c r="F7" s="64"/>
      <c r="G7" s="107" t="s">
        <v>11</v>
      </c>
      <c r="H7" s="108"/>
      <c r="I7" s="109">
        <f>SUM(I5:I6)</f>
        <v>1.2</v>
      </c>
      <c r="J7" s="64"/>
      <c r="K7" s="64"/>
    </row>
    <row r="8" spans="1:11" x14ac:dyDescent="0.25">
      <c r="A8" s="84"/>
      <c r="B8" s="110"/>
      <c r="C8" s="110"/>
      <c r="D8" s="110"/>
      <c r="E8" s="64"/>
      <c r="F8" s="64"/>
      <c r="G8" s="84"/>
      <c r="H8" s="84"/>
      <c r="I8" s="84"/>
      <c r="J8" s="64"/>
      <c r="K8" s="64"/>
    </row>
    <row r="9" spans="1:11" x14ac:dyDescent="0.25">
      <c r="A9" s="179" t="s">
        <v>9</v>
      </c>
      <c r="B9" s="180"/>
      <c r="C9" s="71" t="s">
        <v>69</v>
      </c>
      <c r="D9" s="110"/>
      <c r="E9" s="64"/>
      <c r="F9" s="64"/>
      <c r="G9" s="84"/>
      <c r="H9" s="84"/>
      <c r="I9" s="84"/>
      <c r="J9" s="64"/>
      <c r="K9" s="64"/>
    </row>
    <row r="10" spans="1:11" x14ac:dyDescent="0.25">
      <c r="A10" s="65" t="s">
        <v>11</v>
      </c>
      <c r="B10" s="63"/>
      <c r="C10" s="98">
        <v>1.98</v>
      </c>
      <c r="D10" s="110"/>
      <c r="E10" s="64"/>
      <c r="F10" s="64"/>
      <c r="G10" s="84"/>
      <c r="H10" s="84"/>
      <c r="I10" s="84"/>
      <c r="J10" s="64"/>
      <c r="K10" s="64"/>
    </row>
    <row r="11" spans="1:11" x14ac:dyDescent="0.25">
      <c r="A11" s="64"/>
      <c r="B11" s="72"/>
      <c r="C11" s="72"/>
      <c r="D11" s="72"/>
      <c r="E11" s="64"/>
      <c r="F11" s="64"/>
      <c r="G11" s="64"/>
      <c r="H11" s="64"/>
      <c r="I11" s="64"/>
      <c r="J11" s="64"/>
      <c r="K11" s="64"/>
    </row>
    <row r="12" spans="1:11" x14ac:dyDescent="0.25">
      <c r="A12" s="162" t="s">
        <v>12</v>
      </c>
      <c r="B12" s="163"/>
      <c r="C12" s="163"/>
      <c r="D12" s="163"/>
      <c r="E12" s="164"/>
      <c r="F12" s="105"/>
      <c r="G12" s="104"/>
      <c r="H12" s="104"/>
      <c r="I12" s="104"/>
      <c r="J12" s="104"/>
      <c r="K12" s="104"/>
    </row>
    <row r="13" spans="1:11" x14ac:dyDescent="0.25">
      <c r="A13" s="162" t="s">
        <v>72</v>
      </c>
      <c r="B13" s="163"/>
      <c r="C13" s="163"/>
      <c r="D13" s="163"/>
      <c r="E13" s="164"/>
      <c r="F13" s="42"/>
      <c r="G13" s="175" t="s">
        <v>7</v>
      </c>
      <c r="H13" s="175"/>
      <c r="I13" s="175"/>
      <c r="J13" s="175"/>
      <c r="K13" s="175"/>
    </row>
    <row r="14" spans="1:11" x14ac:dyDescent="0.25">
      <c r="A14" s="162" t="s">
        <v>18</v>
      </c>
      <c r="B14" s="163"/>
      <c r="C14" s="163"/>
      <c r="D14" s="163"/>
      <c r="E14" s="164"/>
      <c r="F14" s="13"/>
      <c r="G14" s="175" t="s">
        <v>18</v>
      </c>
      <c r="H14" s="175"/>
      <c r="I14" s="175"/>
      <c r="J14" s="175"/>
      <c r="K14" s="175"/>
    </row>
    <row r="15" spans="1:11" x14ac:dyDescent="0.25">
      <c r="A15" s="27" t="s">
        <v>13</v>
      </c>
      <c r="B15" s="28"/>
      <c r="C15" s="28"/>
      <c r="D15" s="28"/>
      <c r="E15" s="114">
        <f>3000000+K15</f>
        <v>10600000</v>
      </c>
      <c r="F15" s="29"/>
      <c r="G15" s="93" t="s">
        <v>13</v>
      </c>
      <c r="H15" s="92"/>
      <c r="I15" s="93"/>
      <c r="J15" s="93"/>
      <c r="K15" s="95">
        <v>7600000</v>
      </c>
    </row>
    <row r="16" spans="1:11" x14ac:dyDescent="0.25">
      <c r="A16" s="36" t="s">
        <v>14</v>
      </c>
      <c r="B16" s="37"/>
      <c r="C16" s="37"/>
      <c r="D16" s="37"/>
      <c r="E16" s="115">
        <f>160000+K16</f>
        <v>237000</v>
      </c>
      <c r="F16" s="29"/>
      <c r="G16" s="93" t="s">
        <v>14</v>
      </c>
      <c r="H16" s="93"/>
      <c r="I16" s="93"/>
      <c r="J16" s="93"/>
      <c r="K16" s="95">
        <v>77000</v>
      </c>
    </row>
    <row r="17" spans="1:11" x14ac:dyDescent="0.25">
      <c r="A17" s="27" t="s">
        <v>15</v>
      </c>
      <c r="B17" s="29"/>
      <c r="C17" s="29"/>
      <c r="D17" s="29"/>
      <c r="E17" s="114">
        <f>1900000+K17</f>
        <v>4200000</v>
      </c>
      <c r="F17" s="29"/>
      <c r="G17" s="93" t="s">
        <v>15</v>
      </c>
      <c r="H17" s="93"/>
      <c r="I17" s="93"/>
      <c r="J17" s="93"/>
      <c r="K17" s="95">
        <v>2300000</v>
      </c>
    </row>
    <row r="18" spans="1:11" x14ac:dyDescent="0.25">
      <c r="A18" s="36" t="s">
        <v>16</v>
      </c>
      <c r="B18" s="37"/>
      <c r="C18" s="37"/>
      <c r="D18" s="37"/>
      <c r="E18" s="115">
        <f>2560000+K18</f>
        <v>3960000</v>
      </c>
      <c r="F18" s="29"/>
      <c r="G18" s="93" t="s">
        <v>16</v>
      </c>
      <c r="H18" s="93"/>
      <c r="I18" s="93"/>
      <c r="J18" s="93"/>
      <c r="K18" s="95">
        <v>1400000</v>
      </c>
    </row>
    <row r="19" spans="1:11" ht="15.75" thickBot="1" x14ac:dyDescent="0.3">
      <c r="A19" s="30" t="s">
        <v>17</v>
      </c>
      <c r="B19" s="31"/>
      <c r="C19" s="31"/>
      <c r="D19" s="32"/>
      <c r="E19" s="116">
        <v>1500000</v>
      </c>
      <c r="F19" s="29"/>
      <c r="G19" s="93"/>
      <c r="H19" s="93"/>
      <c r="I19" s="93"/>
      <c r="J19" s="96"/>
      <c r="K19" s="95"/>
    </row>
    <row r="20" spans="1:11" ht="15.75" thickTop="1" x14ac:dyDescent="0.25">
      <c r="A20" s="41" t="s">
        <v>19</v>
      </c>
      <c r="B20" s="34"/>
      <c r="C20" s="34"/>
      <c r="D20" s="34"/>
      <c r="E20" s="117">
        <f>SUM(E15:E19)</f>
        <v>20497000</v>
      </c>
      <c r="F20" s="29"/>
      <c r="G20" s="94" t="s">
        <v>19</v>
      </c>
      <c r="H20" s="94"/>
      <c r="I20" s="94"/>
      <c r="J20" s="94"/>
      <c r="K20" s="97">
        <f>SUM(K15:K19)</f>
        <v>11377000</v>
      </c>
    </row>
    <row r="21" spans="1:11" x14ac:dyDescent="0.25">
      <c r="A21" s="27"/>
      <c r="B21" s="29"/>
      <c r="C21" s="29"/>
      <c r="D21" s="29"/>
      <c r="E21" s="33"/>
      <c r="F21" s="29"/>
      <c r="G21" s="93"/>
      <c r="H21" s="93"/>
      <c r="I21" s="93"/>
      <c r="J21" s="93"/>
      <c r="K21" s="95"/>
    </row>
    <row r="22" spans="1:11" x14ac:dyDescent="0.25">
      <c r="A22" s="183" t="s">
        <v>20</v>
      </c>
      <c r="B22" s="184"/>
      <c r="C22" s="184"/>
      <c r="D22" s="184"/>
      <c r="E22" s="185"/>
      <c r="F22" s="34"/>
      <c r="G22" s="175" t="s">
        <v>20</v>
      </c>
      <c r="H22" s="175"/>
      <c r="I22" s="175"/>
      <c r="J22" s="175"/>
      <c r="K22" s="175"/>
    </row>
    <row r="23" spans="1:11" x14ac:dyDescent="0.25">
      <c r="A23" s="27" t="s">
        <v>21</v>
      </c>
      <c r="B23" s="29"/>
      <c r="C23" s="35"/>
      <c r="D23" s="29"/>
      <c r="E23" s="114">
        <f>640000+K23</f>
        <v>4307000</v>
      </c>
      <c r="F23" s="29"/>
      <c r="G23" s="93" t="s">
        <v>21</v>
      </c>
      <c r="H23" s="93"/>
      <c r="I23" s="93"/>
      <c r="J23" s="93"/>
      <c r="K23" s="95">
        <v>3667000</v>
      </c>
    </row>
    <row r="24" spans="1:11" x14ac:dyDescent="0.25">
      <c r="A24" s="36" t="s">
        <v>22</v>
      </c>
      <c r="B24" s="37"/>
      <c r="C24" s="37"/>
      <c r="D24" s="37"/>
      <c r="E24" s="115">
        <f>594000+K24</f>
        <v>1394000</v>
      </c>
      <c r="F24" s="35"/>
      <c r="G24" s="93" t="s">
        <v>22</v>
      </c>
      <c r="H24" s="93"/>
      <c r="I24" s="93"/>
      <c r="J24" s="93"/>
      <c r="K24" s="95">
        <v>800000</v>
      </c>
    </row>
    <row r="25" spans="1:11" x14ac:dyDescent="0.25">
      <c r="A25" s="27" t="s">
        <v>23</v>
      </c>
      <c r="B25" s="29"/>
      <c r="C25" s="29"/>
      <c r="D25" s="29"/>
      <c r="E25" s="114">
        <f>6000+K25</f>
        <v>12000</v>
      </c>
      <c r="F25" s="35"/>
      <c r="G25" s="93" t="s">
        <v>23</v>
      </c>
      <c r="H25" s="93"/>
      <c r="I25" s="93"/>
      <c r="J25" s="93"/>
      <c r="K25" s="95">
        <v>6000</v>
      </c>
    </row>
    <row r="26" spans="1:11" x14ac:dyDescent="0.25">
      <c r="A26" s="36" t="s">
        <v>24</v>
      </c>
      <c r="B26" s="38"/>
      <c r="C26" s="37"/>
      <c r="D26" s="37"/>
      <c r="E26" s="115">
        <f>80000+K26</f>
        <v>160000</v>
      </c>
      <c r="F26" s="29"/>
      <c r="G26" s="93" t="s">
        <v>24</v>
      </c>
      <c r="H26" s="93"/>
      <c r="I26" s="93"/>
      <c r="J26" s="93"/>
      <c r="K26" s="95">
        <v>80000</v>
      </c>
    </row>
    <row r="27" spans="1:11" ht="15.75" thickBot="1" x14ac:dyDescent="0.3">
      <c r="A27" s="30" t="s">
        <v>25</v>
      </c>
      <c r="B27" s="31"/>
      <c r="C27" s="31"/>
      <c r="D27" s="31"/>
      <c r="E27" s="116">
        <f>60000+K27</f>
        <v>130000</v>
      </c>
      <c r="F27" s="29"/>
      <c r="G27" s="93" t="s">
        <v>25</v>
      </c>
      <c r="H27" s="93"/>
      <c r="I27" s="93"/>
      <c r="J27" s="93"/>
      <c r="K27" s="95">
        <v>70000</v>
      </c>
    </row>
    <row r="28" spans="1:11" ht="15.75" thickTop="1" x14ac:dyDescent="0.25">
      <c r="A28" s="27" t="s">
        <v>19</v>
      </c>
      <c r="B28" s="29"/>
      <c r="C28" s="29"/>
      <c r="D28" s="29"/>
      <c r="E28" s="114">
        <f>SUM(E23:E27)</f>
        <v>6003000</v>
      </c>
      <c r="F28" s="29"/>
      <c r="G28" s="93" t="s">
        <v>19</v>
      </c>
      <c r="H28" s="93"/>
      <c r="I28" s="93"/>
      <c r="J28" s="93"/>
      <c r="K28" s="95">
        <f>SUM(K23:K27)</f>
        <v>4623000</v>
      </c>
    </row>
    <row r="29" spans="1:11" x14ac:dyDescent="0.25">
      <c r="A29" s="27"/>
      <c r="B29" s="29"/>
      <c r="C29" s="29"/>
      <c r="D29" s="29"/>
      <c r="E29" s="114"/>
      <c r="F29" s="29"/>
      <c r="G29" s="93"/>
      <c r="H29" s="93"/>
      <c r="I29" s="93"/>
      <c r="J29" s="93"/>
      <c r="K29" s="95"/>
    </row>
    <row r="30" spans="1:11" x14ac:dyDescent="0.25">
      <c r="A30" s="39" t="s">
        <v>5</v>
      </c>
      <c r="B30" s="40"/>
      <c r="C30" s="40"/>
      <c r="D30" s="40"/>
      <c r="E30" s="118">
        <f>SUM(E20,E28)</f>
        <v>26500000</v>
      </c>
      <c r="F30" s="34"/>
      <c r="G30" s="94" t="s">
        <v>5</v>
      </c>
      <c r="H30" s="94"/>
      <c r="I30" s="94"/>
      <c r="J30" s="94"/>
      <c r="K30" s="97">
        <f>SUM(K20,K28)</f>
        <v>16000000</v>
      </c>
    </row>
    <row r="31" spans="1:11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5">
      <c r="A32" s="162" t="s">
        <v>48</v>
      </c>
      <c r="B32" s="163"/>
      <c r="C32" s="163"/>
      <c r="D32" s="163"/>
      <c r="E32" s="164"/>
      <c r="F32" s="64"/>
    </row>
    <row r="33" spans="1:11" x14ac:dyDescent="0.25">
      <c r="A33" s="170" t="s">
        <v>91</v>
      </c>
      <c r="B33" s="171"/>
      <c r="C33" s="171"/>
      <c r="D33" s="171"/>
      <c r="E33" s="172"/>
      <c r="F33" s="64"/>
    </row>
    <row r="34" spans="1:11" x14ac:dyDescent="0.25">
      <c r="A34" s="165">
        <v>0.2</v>
      </c>
      <c r="B34" s="166"/>
      <c r="C34" s="5"/>
      <c r="D34" s="165">
        <v>0.8</v>
      </c>
      <c r="E34" s="167"/>
      <c r="F34" s="64"/>
    </row>
    <row r="35" spans="1:11" x14ac:dyDescent="0.25">
      <c r="A35" s="168">
        <v>130000</v>
      </c>
      <c r="B35" s="169"/>
      <c r="C35" s="43" t="s">
        <v>49</v>
      </c>
      <c r="D35" s="168">
        <v>520000</v>
      </c>
      <c r="E35" s="169"/>
      <c r="F35" s="64"/>
    </row>
    <row r="36" spans="1:11" x14ac:dyDescent="0.25">
      <c r="A36" s="156"/>
      <c r="B36" s="157"/>
      <c r="C36" s="5"/>
      <c r="D36" s="157"/>
      <c r="E36" s="167"/>
      <c r="F36" s="64"/>
    </row>
    <row r="37" spans="1:11" x14ac:dyDescent="0.25">
      <c r="A37" s="62" t="s">
        <v>92</v>
      </c>
      <c r="B37" s="62"/>
      <c r="C37" s="119"/>
      <c r="D37" s="119"/>
      <c r="E37" s="120">
        <v>24700000</v>
      </c>
      <c r="F37" s="64"/>
      <c r="G37" s="64"/>
      <c r="H37" s="64"/>
      <c r="I37" s="64"/>
      <c r="J37" s="64"/>
      <c r="K37" s="64"/>
    </row>
    <row r="39" spans="1:11" x14ac:dyDescent="0.25">
      <c r="A39" s="162" t="s">
        <v>90</v>
      </c>
      <c r="B39" s="163"/>
      <c r="C39" s="163"/>
      <c r="D39" s="163"/>
      <c r="E39" s="164"/>
    </row>
    <row r="40" spans="1:11" x14ac:dyDescent="0.25">
      <c r="A40" s="156" t="s">
        <v>50</v>
      </c>
      <c r="B40" s="157"/>
      <c r="C40" s="5"/>
      <c r="D40" s="5"/>
      <c r="E40" s="113">
        <v>9.3000000000000007</v>
      </c>
    </row>
    <row r="41" spans="1:11" x14ac:dyDescent="0.25">
      <c r="A41" s="158" t="s">
        <v>51</v>
      </c>
      <c r="B41" s="159"/>
      <c r="C41" s="60"/>
      <c r="D41" s="60"/>
      <c r="E41" s="121">
        <f>E37</f>
        <v>24700000</v>
      </c>
    </row>
    <row r="42" spans="1:11" x14ac:dyDescent="0.25">
      <c r="A42" s="156" t="s">
        <v>73</v>
      </c>
      <c r="B42" s="157"/>
      <c r="C42" s="5"/>
      <c r="D42" s="5"/>
      <c r="E42" s="6">
        <v>1.98</v>
      </c>
    </row>
    <row r="43" spans="1:11" x14ac:dyDescent="0.25">
      <c r="A43" s="160" t="s">
        <v>74</v>
      </c>
      <c r="B43" s="161"/>
      <c r="C43" s="63"/>
      <c r="D43" s="63"/>
      <c r="E43" s="122">
        <f>(E41*(E42/E40))*1.018</f>
        <v>5353366.4516129028</v>
      </c>
    </row>
  </sheetData>
  <mergeCells count="25">
    <mergeCell ref="A1:E1"/>
    <mergeCell ref="A2:E2"/>
    <mergeCell ref="A12:E12"/>
    <mergeCell ref="G22:K22"/>
    <mergeCell ref="A3:D3"/>
    <mergeCell ref="A9:B9"/>
    <mergeCell ref="G6:H6"/>
    <mergeCell ref="A14:E14"/>
    <mergeCell ref="A13:E13"/>
    <mergeCell ref="A22:E22"/>
    <mergeCell ref="G13:K13"/>
    <mergeCell ref="G14:K14"/>
    <mergeCell ref="A40:B40"/>
    <mergeCell ref="A41:B41"/>
    <mergeCell ref="A42:B42"/>
    <mergeCell ref="A43:B43"/>
    <mergeCell ref="A32:E32"/>
    <mergeCell ref="A34:B34"/>
    <mergeCell ref="D34:E34"/>
    <mergeCell ref="A35:B35"/>
    <mergeCell ref="D35:E35"/>
    <mergeCell ref="A36:B36"/>
    <mergeCell ref="D36:E36"/>
    <mergeCell ref="A39:E39"/>
    <mergeCell ref="A33:E33"/>
  </mergeCells>
  <phoneticPr fontId="12" type="noConversion"/>
  <pageMargins left="0.7" right="0.7" top="0.75" bottom="0.75" header="0.3" footer="0.3"/>
  <pageSetup orientation="portrait"/>
  <extLst>
    <x:ext xmlns:x="http://schemas.openxmlformats.org/spreadsheetml/2006/main" xmlns:mx="http://schemas.microsoft.com/office/mac/excel/2008/main" uri="{64002731-A6B0-56B0-2670-7721B7C09600}">
      <mx:PLV Mode="0" OnePage="0" WScale="0"/>
    </x: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opLeftCell="C1" workbookViewId="0">
      <selection activeCell="H20" sqref="H20"/>
    </sheetView>
  </sheetViews>
  <sheetFormatPr defaultColWidth="8.85546875" defaultRowHeight="15" x14ac:dyDescent="0.25"/>
  <cols>
    <col min="1" max="1" width="26.28515625" customWidth="1"/>
    <col min="2" max="4" width="13.42578125" customWidth="1"/>
    <col min="5" max="5" width="2.28515625" customWidth="1"/>
    <col min="6" max="6" width="34.28515625" bestFit="1" customWidth="1"/>
    <col min="7" max="7" width="17.140625" bestFit="1" customWidth="1"/>
    <col min="8" max="8" width="20.42578125" customWidth="1"/>
    <col min="9" max="9" width="20" customWidth="1"/>
    <col min="10" max="10" width="15.85546875" customWidth="1"/>
    <col min="11" max="11" width="25.140625" customWidth="1"/>
    <col min="12" max="17" width="13.42578125" customWidth="1"/>
  </cols>
  <sheetData>
    <row r="1" spans="1:17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91"/>
    </row>
    <row r="2" spans="1:17" x14ac:dyDescent="0.25">
      <c r="A2" s="173" t="s">
        <v>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91"/>
    </row>
    <row r="4" spans="1:17" x14ac:dyDescent="0.25">
      <c r="A4" s="192" t="s">
        <v>26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"/>
      <c r="N4" s="1"/>
      <c r="O4" s="1"/>
      <c r="P4" s="1"/>
      <c r="Q4" s="1"/>
    </row>
    <row r="5" spans="1:17" ht="18.75" x14ac:dyDescent="0.3">
      <c r="A5" s="186" t="s">
        <v>84</v>
      </c>
      <c r="B5" s="187"/>
      <c r="C5" s="187"/>
      <c r="D5" s="188"/>
      <c r="E5" s="18"/>
      <c r="F5" s="199" t="s">
        <v>60</v>
      </c>
      <c r="G5" s="199"/>
      <c r="H5" s="199"/>
      <c r="I5" s="199"/>
      <c r="J5" s="199"/>
      <c r="K5" s="199"/>
      <c r="L5" s="199"/>
    </row>
    <row r="6" spans="1:17" ht="28.5" customHeight="1" x14ac:dyDescent="0.25">
      <c r="A6" s="10" t="s">
        <v>35</v>
      </c>
      <c r="B6" s="12" t="s">
        <v>29</v>
      </c>
      <c r="C6" s="12" t="s">
        <v>32</v>
      </c>
      <c r="D6" s="17" t="s">
        <v>5</v>
      </c>
      <c r="E6" s="17"/>
      <c r="F6" s="25" t="s">
        <v>41</v>
      </c>
      <c r="G6" s="26" t="s">
        <v>37</v>
      </c>
      <c r="H6" s="26" t="s">
        <v>38</v>
      </c>
      <c r="I6" s="197" t="s">
        <v>40</v>
      </c>
      <c r="J6" s="197"/>
      <c r="K6" s="197" t="s">
        <v>82</v>
      </c>
      <c r="L6" s="197"/>
    </row>
    <row r="7" spans="1:17" x14ac:dyDescent="0.25">
      <c r="A7" s="47" t="s">
        <v>28</v>
      </c>
      <c r="B7" s="47">
        <v>0</v>
      </c>
      <c r="C7" s="140">
        <v>9600000</v>
      </c>
      <c r="D7" s="140">
        <f>C7*B7</f>
        <v>0</v>
      </c>
      <c r="E7" s="16"/>
      <c r="F7" s="19" t="s">
        <v>42</v>
      </c>
      <c r="G7" s="20" t="s">
        <v>43</v>
      </c>
      <c r="H7" s="132">
        <v>8500000000</v>
      </c>
      <c r="I7" s="132">
        <v>175000000</v>
      </c>
      <c r="J7" s="132">
        <v>300000000</v>
      </c>
      <c r="K7" s="132">
        <v>1500000</v>
      </c>
      <c r="L7" s="132">
        <v>2500000</v>
      </c>
    </row>
    <row r="8" spans="1:17" x14ac:dyDescent="0.25">
      <c r="A8" s="7" t="s">
        <v>34</v>
      </c>
      <c r="B8" s="7">
        <v>3</v>
      </c>
      <c r="C8" s="141">
        <v>2553600</v>
      </c>
      <c r="D8" s="141">
        <f t="shared" ref="D8:D9" si="0">C8*B8</f>
        <v>7660800</v>
      </c>
      <c r="E8" s="16"/>
      <c r="F8" s="21" t="s">
        <v>36</v>
      </c>
      <c r="G8" s="22" t="s">
        <v>39</v>
      </c>
      <c r="H8" s="133">
        <v>1500000000</v>
      </c>
      <c r="I8" s="133">
        <v>45000000</v>
      </c>
      <c r="J8" s="133">
        <v>70000000</v>
      </c>
      <c r="K8" s="133">
        <v>200000</v>
      </c>
      <c r="L8" s="133">
        <v>500000</v>
      </c>
    </row>
    <row r="9" spans="1:17" ht="15.75" thickBot="1" x14ac:dyDescent="0.3">
      <c r="A9" s="49" t="s">
        <v>31</v>
      </c>
      <c r="B9" s="49">
        <v>5</v>
      </c>
      <c r="C9" s="142">
        <v>451200</v>
      </c>
      <c r="D9" s="142">
        <f t="shared" si="0"/>
        <v>2256000</v>
      </c>
      <c r="E9" s="16"/>
      <c r="F9" s="19" t="s">
        <v>44</v>
      </c>
      <c r="G9" s="20" t="s">
        <v>46</v>
      </c>
      <c r="H9" s="132">
        <v>600000000</v>
      </c>
      <c r="I9" s="132">
        <v>15000000</v>
      </c>
      <c r="J9" s="132">
        <v>25000000</v>
      </c>
      <c r="K9" s="198">
        <v>100000</v>
      </c>
      <c r="L9" s="198"/>
    </row>
    <row r="10" spans="1:17" ht="15.75" thickTop="1" x14ac:dyDescent="0.25">
      <c r="A10" s="74" t="s">
        <v>19</v>
      </c>
      <c r="B10" s="74">
        <f>SUM(B7:B9)</f>
        <v>8</v>
      </c>
      <c r="C10" s="75"/>
      <c r="D10" s="143">
        <f>SUM(D7:D9)</f>
        <v>9916800</v>
      </c>
      <c r="E10" s="16"/>
      <c r="F10" s="23" t="s">
        <v>45</v>
      </c>
      <c r="G10" s="24" t="s">
        <v>47</v>
      </c>
      <c r="H10" s="134">
        <v>1200000000</v>
      </c>
      <c r="I10" s="134">
        <v>65000000</v>
      </c>
      <c r="J10" s="134">
        <v>90000000</v>
      </c>
      <c r="K10" s="134">
        <v>1900000</v>
      </c>
      <c r="L10" s="134">
        <v>3000000</v>
      </c>
    </row>
    <row r="11" spans="1:17" x14ac:dyDescent="0.25">
      <c r="A11" s="74"/>
      <c r="B11" s="74"/>
      <c r="C11" s="75"/>
      <c r="D11" s="76"/>
      <c r="E11" s="14"/>
      <c r="F11" s="90" t="s">
        <v>70</v>
      </c>
      <c r="G11" s="91"/>
      <c r="H11" s="135"/>
      <c r="I11" s="135"/>
      <c r="J11" s="135"/>
      <c r="K11" s="135">
        <v>2500000</v>
      </c>
      <c r="L11" s="135">
        <v>4100000</v>
      </c>
    </row>
    <row r="12" spans="1:17" x14ac:dyDescent="0.25">
      <c r="A12" s="74"/>
      <c r="B12" s="74"/>
      <c r="C12" s="75"/>
      <c r="D12" s="76"/>
      <c r="E12" s="14"/>
      <c r="F12" s="88" t="s">
        <v>5</v>
      </c>
      <c r="G12" s="89" t="s">
        <v>71</v>
      </c>
      <c r="H12" s="136">
        <v>11800000000</v>
      </c>
      <c r="I12" s="136">
        <v>300000000</v>
      </c>
      <c r="J12" s="136">
        <v>485000000</v>
      </c>
      <c r="K12" s="136">
        <v>6200000</v>
      </c>
      <c r="L12" s="136">
        <v>10200000</v>
      </c>
    </row>
    <row r="13" spans="1:17" x14ac:dyDescent="0.25">
      <c r="A13" s="47"/>
      <c r="B13" s="47"/>
      <c r="C13" s="48"/>
      <c r="D13" s="47"/>
      <c r="E13" s="5"/>
      <c r="F13" s="84"/>
      <c r="G13" s="64"/>
      <c r="H13" s="64"/>
      <c r="I13" s="64"/>
      <c r="J13" s="64"/>
      <c r="K13" s="64"/>
      <c r="L13" s="64"/>
    </row>
    <row r="14" spans="1:17" ht="18.75" x14ac:dyDescent="0.25">
      <c r="A14" s="10" t="s">
        <v>33</v>
      </c>
      <c r="B14" s="8"/>
      <c r="C14" s="9"/>
      <c r="D14" s="8"/>
      <c r="E14" s="5"/>
      <c r="F14" s="189" t="s">
        <v>54</v>
      </c>
      <c r="G14" s="190"/>
      <c r="H14" s="64"/>
      <c r="I14" s="193" t="s">
        <v>77</v>
      </c>
      <c r="J14" s="193"/>
      <c r="K14" s="193"/>
      <c r="L14" s="193"/>
    </row>
    <row r="15" spans="1:17" x14ac:dyDescent="0.25">
      <c r="A15" s="47" t="s">
        <v>28</v>
      </c>
      <c r="B15" s="47">
        <v>0</v>
      </c>
      <c r="C15" s="140">
        <v>9600000</v>
      </c>
      <c r="D15" s="140">
        <f t="shared" ref="D15:D17" si="1">C15*B15</f>
        <v>0</v>
      </c>
      <c r="E15" s="14"/>
      <c r="F15" s="44" t="s">
        <v>55</v>
      </c>
      <c r="G15" s="45" t="s">
        <v>56</v>
      </c>
      <c r="H15" s="64"/>
      <c r="I15" s="87" t="s">
        <v>76</v>
      </c>
      <c r="J15" s="85"/>
      <c r="K15" s="85"/>
      <c r="L15" s="137">
        <f>K12/10*1.9</f>
        <v>1178000</v>
      </c>
    </row>
    <row r="16" spans="1:17" x14ac:dyDescent="0.25">
      <c r="A16" s="7" t="s">
        <v>30</v>
      </c>
      <c r="B16" s="7">
        <v>7</v>
      </c>
      <c r="C16" s="141">
        <v>2553600</v>
      </c>
      <c r="D16" s="141">
        <f t="shared" si="1"/>
        <v>17875200</v>
      </c>
      <c r="E16" s="14"/>
      <c r="F16" s="77" t="s">
        <v>57</v>
      </c>
      <c r="G16" s="129">
        <v>3000000000</v>
      </c>
      <c r="H16" s="64"/>
      <c r="I16" s="194" t="s">
        <v>78</v>
      </c>
      <c r="J16" s="194"/>
      <c r="K16" s="194"/>
      <c r="L16" s="138">
        <f>G18/10*1.9</f>
        <v>570000</v>
      </c>
    </row>
    <row r="17" spans="1:12" ht="15.75" thickBot="1" x14ac:dyDescent="0.3">
      <c r="A17" s="49" t="s">
        <v>31</v>
      </c>
      <c r="B17" s="49">
        <v>10</v>
      </c>
      <c r="C17" s="142">
        <v>451200</v>
      </c>
      <c r="D17" s="142">
        <f t="shared" si="1"/>
        <v>4512000</v>
      </c>
      <c r="E17" s="14"/>
      <c r="F17" s="46" t="s">
        <v>58</v>
      </c>
      <c r="G17" s="130">
        <v>150000000</v>
      </c>
      <c r="H17" s="84"/>
      <c r="I17" s="195" t="s">
        <v>77</v>
      </c>
      <c r="J17" s="195"/>
      <c r="K17" s="195"/>
      <c r="L17" s="139">
        <f>L15+L16</f>
        <v>1748000</v>
      </c>
    </row>
    <row r="18" spans="1:12" ht="15.75" thickTop="1" x14ac:dyDescent="0.25">
      <c r="A18" s="7" t="s">
        <v>19</v>
      </c>
      <c r="B18" s="7">
        <f>SUM(B15:B17)</f>
        <v>17</v>
      </c>
      <c r="C18" s="7"/>
      <c r="D18" s="141">
        <f>SUM(D15:D17)</f>
        <v>22387200</v>
      </c>
      <c r="E18" s="14"/>
      <c r="F18" s="78" t="s">
        <v>59</v>
      </c>
      <c r="G18" s="131">
        <v>3000000</v>
      </c>
      <c r="H18" s="64"/>
      <c r="I18" s="196"/>
      <c r="J18" s="196"/>
      <c r="K18" s="196"/>
      <c r="L18" s="86"/>
    </row>
    <row r="19" spans="1:12" ht="15.75" thickBot="1" x14ac:dyDescent="0.3">
      <c r="A19" s="49"/>
      <c r="B19" s="49"/>
      <c r="C19" s="49"/>
      <c r="D19" s="49"/>
      <c r="E19" s="5"/>
      <c r="F19" s="5"/>
    </row>
    <row r="20" spans="1:12" ht="19.5" thickTop="1" x14ac:dyDescent="0.25">
      <c r="A20" s="11" t="s">
        <v>5</v>
      </c>
      <c r="B20" s="11">
        <f>B18+B10</f>
        <v>25</v>
      </c>
      <c r="C20" s="11"/>
      <c r="D20" s="144">
        <f>D18+D10</f>
        <v>32304000</v>
      </c>
      <c r="E20" s="15"/>
      <c r="F20" s="189" t="s">
        <v>81</v>
      </c>
      <c r="G20" s="190"/>
    </row>
    <row r="21" spans="1:12" x14ac:dyDescent="0.25">
      <c r="F21" s="44" t="s">
        <v>55</v>
      </c>
      <c r="G21" s="45"/>
    </row>
    <row r="22" spans="1:12" x14ac:dyDescent="0.25">
      <c r="F22" s="77" t="s">
        <v>57</v>
      </c>
      <c r="G22" s="129">
        <v>175000000</v>
      </c>
    </row>
    <row r="23" spans="1:12" x14ac:dyDescent="0.25">
      <c r="F23" s="46" t="s">
        <v>58</v>
      </c>
      <c r="G23" s="130">
        <v>175000000</v>
      </c>
    </row>
    <row r="24" spans="1:12" x14ac:dyDescent="0.25">
      <c r="F24" s="78" t="s">
        <v>83</v>
      </c>
      <c r="G24" s="131">
        <v>9000000</v>
      </c>
    </row>
    <row r="25" spans="1:12" x14ac:dyDescent="0.25">
      <c r="F25" t="s">
        <v>85</v>
      </c>
      <c r="G25" s="146">
        <f>G24/10*1.9</f>
        <v>1710000</v>
      </c>
    </row>
    <row r="26" spans="1:12" ht="18.75" x14ac:dyDescent="0.25">
      <c r="I26" s="189" t="s">
        <v>63</v>
      </c>
      <c r="J26" s="190"/>
    </row>
    <row r="27" spans="1:12" x14ac:dyDescent="0.25">
      <c r="I27" s="79" t="s">
        <v>64</v>
      </c>
      <c r="J27" s="80">
        <v>900</v>
      </c>
    </row>
    <row r="28" spans="1:12" x14ac:dyDescent="0.25">
      <c r="I28" s="81" t="s">
        <v>8</v>
      </c>
      <c r="J28" s="82">
        <v>1.98</v>
      </c>
    </row>
    <row r="29" spans="1:12" x14ac:dyDescent="0.25">
      <c r="I29" s="79" t="s">
        <v>65</v>
      </c>
      <c r="J29" s="128">
        <v>0.39</v>
      </c>
    </row>
    <row r="30" spans="1:12" x14ac:dyDescent="0.25">
      <c r="I30" s="81" t="s">
        <v>66</v>
      </c>
      <c r="J30" s="82">
        <v>240</v>
      </c>
    </row>
    <row r="31" spans="1:12" x14ac:dyDescent="0.25">
      <c r="I31" s="83" t="s">
        <v>75</v>
      </c>
      <c r="J31" s="145">
        <f>J27*J28*J29*J30</f>
        <v>166795.20000000001</v>
      </c>
    </row>
  </sheetData>
  <mergeCells count="15">
    <mergeCell ref="A5:D5"/>
    <mergeCell ref="I26:J26"/>
    <mergeCell ref="A1:L1"/>
    <mergeCell ref="A2:L2"/>
    <mergeCell ref="A4:L4"/>
    <mergeCell ref="I14:L14"/>
    <mergeCell ref="I16:K16"/>
    <mergeCell ref="I17:K17"/>
    <mergeCell ref="I18:K18"/>
    <mergeCell ref="F14:G14"/>
    <mergeCell ref="I6:J6"/>
    <mergeCell ref="K6:L6"/>
    <mergeCell ref="K9:L9"/>
    <mergeCell ref="F5:L5"/>
    <mergeCell ref="F20:G20"/>
  </mergeCells>
  <pageMargins left="0.7" right="0.7" top="0.75" bottom="0.75" header="0.3" footer="0.3"/>
  <extLst>
    <x:ext xmlns:x="http://schemas.openxmlformats.org/spreadsheetml/2006/main" xmlns:mx="http://schemas.microsoft.com/office/mac/excel/2008/main" uri="{64002731-A6B0-56B0-2670-7721B7C09600}">
      <mx:PLV Mode="0" OnePage="0" WScale="0"/>
    </x: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="75" zoomScaleNormal="75" zoomScalePageLayoutView="75" workbookViewId="0">
      <selection activeCell="C31" sqref="C31"/>
    </sheetView>
  </sheetViews>
  <sheetFormatPr defaultColWidth="8.85546875" defaultRowHeight="15" x14ac:dyDescent="0.25"/>
  <cols>
    <col min="1" max="1" width="43.28515625" customWidth="1"/>
    <col min="2" max="2" width="15" customWidth="1"/>
    <col min="3" max="3" width="16.42578125" customWidth="1"/>
    <col min="4" max="4" width="10.7109375" customWidth="1"/>
    <col min="5" max="5" width="8.7109375" customWidth="1"/>
    <col min="6" max="6" width="9.42578125" customWidth="1"/>
    <col min="7" max="7" width="8.85546875" customWidth="1"/>
    <col min="8" max="8" width="8.7109375" customWidth="1"/>
    <col min="9" max="9" width="10.140625" customWidth="1"/>
    <col min="10" max="35" width="10.7109375" customWidth="1"/>
  </cols>
  <sheetData>
    <row r="1" spans="1:35" x14ac:dyDescent="0.25">
      <c r="A1" s="179" t="s">
        <v>68</v>
      </c>
      <c r="B1" s="180"/>
      <c r="C1" s="200"/>
    </row>
    <row r="2" spans="1:35" x14ac:dyDescent="0.25">
      <c r="A2" s="59" t="s">
        <v>62</v>
      </c>
      <c r="B2" s="60"/>
      <c r="C2" s="61">
        <v>7.0000000000000007E-2</v>
      </c>
    </row>
    <row r="3" spans="1:35" x14ac:dyDescent="0.25">
      <c r="A3" s="50"/>
      <c r="B3" s="147" t="s">
        <v>89</v>
      </c>
      <c r="C3" s="52"/>
      <c r="D3">
        <v>2017</v>
      </c>
      <c r="E3">
        <v>2018</v>
      </c>
      <c r="F3">
        <f>E3+1</f>
        <v>2019</v>
      </c>
      <c r="G3">
        <f t="shared" ref="G3:AI3" si="0">F3+1</f>
        <v>2020</v>
      </c>
      <c r="H3">
        <f t="shared" si="0"/>
        <v>2021</v>
      </c>
      <c r="I3">
        <f t="shared" si="0"/>
        <v>2022</v>
      </c>
      <c r="J3">
        <f t="shared" si="0"/>
        <v>2023</v>
      </c>
      <c r="K3">
        <f t="shared" si="0"/>
        <v>2024</v>
      </c>
      <c r="L3">
        <f t="shared" si="0"/>
        <v>2025</v>
      </c>
      <c r="M3">
        <f t="shared" si="0"/>
        <v>2026</v>
      </c>
      <c r="N3">
        <f t="shared" si="0"/>
        <v>2027</v>
      </c>
      <c r="O3">
        <f t="shared" si="0"/>
        <v>2028</v>
      </c>
      <c r="P3">
        <f t="shared" si="0"/>
        <v>2029</v>
      </c>
      <c r="Q3">
        <f t="shared" si="0"/>
        <v>2030</v>
      </c>
      <c r="R3">
        <f t="shared" si="0"/>
        <v>2031</v>
      </c>
      <c r="S3">
        <f t="shared" si="0"/>
        <v>2032</v>
      </c>
      <c r="T3">
        <f t="shared" si="0"/>
        <v>2033</v>
      </c>
      <c r="U3">
        <f t="shared" si="0"/>
        <v>2034</v>
      </c>
      <c r="V3">
        <f t="shared" si="0"/>
        <v>2035</v>
      </c>
      <c r="W3">
        <f t="shared" si="0"/>
        <v>2036</v>
      </c>
      <c r="X3">
        <f t="shared" si="0"/>
        <v>2037</v>
      </c>
      <c r="Y3">
        <f t="shared" si="0"/>
        <v>2038</v>
      </c>
      <c r="Z3">
        <f t="shared" si="0"/>
        <v>2039</v>
      </c>
      <c r="AA3">
        <f t="shared" si="0"/>
        <v>2040</v>
      </c>
      <c r="AB3">
        <f t="shared" si="0"/>
        <v>2041</v>
      </c>
      <c r="AC3">
        <f t="shared" si="0"/>
        <v>2042</v>
      </c>
      <c r="AD3">
        <f t="shared" si="0"/>
        <v>2043</v>
      </c>
      <c r="AE3">
        <f t="shared" si="0"/>
        <v>2044</v>
      </c>
      <c r="AF3">
        <f t="shared" si="0"/>
        <v>2045</v>
      </c>
      <c r="AG3">
        <f t="shared" si="0"/>
        <v>2046</v>
      </c>
      <c r="AH3">
        <f t="shared" si="0"/>
        <v>2047</v>
      </c>
      <c r="AI3">
        <f t="shared" si="0"/>
        <v>2048</v>
      </c>
    </row>
    <row r="4" spans="1:35" x14ac:dyDescent="0.25">
      <c r="A4" s="51" t="s">
        <v>1</v>
      </c>
      <c r="B4" s="147" t="s">
        <v>87</v>
      </c>
      <c r="C4" s="52" t="s">
        <v>86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</row>
    <row r="5" spans="1:35" x14ac:dyDescent="0.25">
      <c r="A5" s="54" t="s">
        <v>53</v>
      </c>
      <c r="B5" s="125">
        <f>SUM(D5:AI5)</f>
        <v>26500000</v>
      </c>
      <c r="C5" s="121">
        <f>SUM(D5:AI5)</f>
        <v>26500000</v>
      </c>
      <c r="D5" s="149">
        <f>'Cost Detail'!E30</f>
        <v>26500000</v>
      </c>
      <c r="E5" s="149">
        <v>0</v>
      </c>
      <c r="F5" s="149">
        <v>0</v>
      </c>
      <c r="G5" s="149">
        <v>0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x14ac:dyDescent="0.25">
      <c r="A6" s="53" t="s">
        <v>88</v>
      </c>
      <c r="B6" s="126">
        <f>NPV($C$2,D6:AI6)</f>
        <v>51610690.679765746</v>
      </c>
      <c r="C6" s="123">
        <f t="shared" ref="C6" si="1">SUM(D6:AI6)</f>
        <v>152570943.87096772</v>
      </c>
      <c r="D6" s="149">
        <v>0</v>
      </c>
      <c r="E6" s="149">
        <v>0</v>
      </c>
      <c r="F6" s="149">
        <v>0</v>
      </c>
      <c r="G6" s="149">
        <f>'Cost Detail'!$E$43/2</f>
        <v>2676683.2258064514</v>
      </c>
      <c r="H6" s="149">
        <f>'Cost Detail'!$E$43</f>
        <v>5353366.4516129028</v>
      </c>
      <c r="I6" s="149">
        <f>'Cost Detail'!$E$43</f>
        <v>5353366.4516129028</v>
      </c>
      <c r="J6" s="149">
        <f>'Cost Detail'!$E$43</f>
        <v>5353366.4516129028</v>
      </c>
      <c r="K6" s="149">
        <f>'Cost Detail'!$E$43</f>
        <v>5353366.4516129028</v>
      </c>
      <c r="L6" s="149">
        <f>'Cost Detail'!$E$43</f>
        <v>5353366.4516129028</v>
      </c>
      <c r="M6" s="149">
        <f>'Cost Detail'!$E$43</f>
        <v>5353366.4516129028</v>
      </c>
      <c r="N6" s="149">
        <f>'Cost Detail'!$E$43</f>
        <v>5353366.4516129028</v>
      </c>
      <c r="O6" s="149">
        <f>'Cost Detail'!$E$43</f>
        <v>5353366.4516129028</v>
      </c>
      <c r="P6" s="149">
        <f>'Cost Detail'!$E$43</f>
        <v>5353366.4516129028</v>
      </c>
      <c r="Q6" s="149">
        <f>'Cost Detail'!$E$43</f>
        <v>5353366.4516129028</v>
      </c>
      <c r="R6" s="149">
        <f>'Cost Detail'!$E$43</f>
        <v>5353366.4516129028</v>
      </c>
      <c r="S6" s="149">
        <f>'Cost Detail'!$E$43</f>
        <v>5353366.4516129028</v>
      </c>
      <c r="T6" s="149">
        <f>'Cost Detail'!$E$43</f>
        <v>5353366.4516129028</v>
      </c>
      <c r="U6" s="149">
        <f>'Cost Detail'!$E$43</f>
        <v>5353366.4516129028</v>
      </c>
      <c r="V6" s="149">
        <f>'Cost Detail'!$E$43</f>
        <v>5353366.4516129028</v>
      </c>
      <c r="W6" s="149">
        <f>'Cost Detail'!$E$43</f>
        <v>5353366.4516129028</v>
      </c>
      <c r="X6" s="149">
        <f>'Cost Detail'!$E$43</f>
        <v>5353366.4516129028</v>
      </c>
      <c r="Y6" s="149">
        <f>'Cost Detail'!$E$43</f>
        <v>5353366.4516129028</v>
      </c>
      <c r="Z6" s="149">
        <f>'Cost Detail'!$E$43</f>
        <v>5353366.4516129028</v>
      </c>
      <c r="AA6" s="149">
        <f>'Cost Detail'!$E$43</f>
        <v>5353366.4516129028</v>
      </c>
      <c r="AB6" s="149">
        <f>'Cost Detail'!$E$43</f>
        <v>5353366.4516129028</v>
      </c>
      <c r="AC6" s="149">
        <f>'Cost Detail'!$E$43</f>
        <v>5353366.4516129028</v>
      </c>
      <c r="AD6" s="149">
        <f>'Cost Detail'!$E$43</f>
        <v>5353366.4516129028</v>
      </c>
      <c r="AE6" s="149">
        <f>'Cost Detail'!$E$43</f>
        <v>5353366.4516129028</v>
      </c>
      <c r="AF6" s="149">
        <f>'Cost Detail'!$E$43</f>
        <v>5353366.4516129028</v>
      </c>
      <c r="AG6" s="149">
        <f>'Cost Detail'!$E$43</f>
        <v>5353366.4516129028</v>
      </c>
      <c r="AH6" s="149">
        <f>'Cost Detail'!$E$43</f>
        <v>5353366.4516129028</v>
      </c>
      <c r="AI6" s="149">
        <f>'Cost Detail'!$E$43</f>
        <v>5353366.4516129028</v>
      </c>
    </row>
    <row r="7" spans="1:35" x14ac:dyDescent="0.25">
      <c r="A7" s="55" t="s">
        <v>5</v>
      </c>
      <c r="B7" s="125">
        <f>SUM(B5:B6)</f>
        <v>78110690.679765746</v>
      </c>
      <c r="C7" s="121">
        <f>SUM(C5:C6)</f>
        <v>179070943.87096772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35" x14ac:dyDescent="0.25">
      <c r="A8" s="50"/>
      <c r="B8" s="126"/>
      <c r="C8" s="123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</row>
    <row r="9" spans="1:35" x14ac:dyDescent="0.25">
      <c r="A9" s="51" t="s">
        <v>52</v>
      </c>
      <c r="B9" s="127"/>
      <c r="C9" s="124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</row>
    <row r="10" spans="1:35" x14ac:dyDescent="0.25">
      <c r="A10" s="54" t="s">
        <v>27</v>
      </c>
      <c r="B10" s="125">
        <f>NPV($C$2,D10:AI10)</f>
        <v>323758417.49180317</v>
      </c>
      <c r="C10" s="121">
        <f t="shared" ref="C10:C13" si="2">SUM(D10:AI10)</f>
        <v>936816000</v>
      </c>
      <c r="D10" s="149">
        <v>0</v>
      </c>
      <c r="E10" s="149">
        <v>0</v>
      </c>
      <c r="F10" s="149">
        <v>0</v>
      </c>
      <c r="G10" s="149">
        <f>'Benefit Detail'!$D$20</f>
        <v>32304000</v>
      </c>
      <c r="H10" s="149">
        <f>'Benefit Detail'!$D$20</f>
        <v>32304000</v>
      </c>
      <c r="I10" s="149">
        <f>'Benefit Detail'!$D$20</f>
        <v>32304000</v>
      </c>
      <c r="J10" s="149">
        <f>'Benefit Detail'!$D$20</f>
        <v>32304000</v>
      </c>
      <c r="K10" s="149">
        <f>'Benefit Detail'!$D$20</f>
        <v>32304000</v>
      </c>
      <c r="L10" s="149">
        <f>'Benefit Detail'!$D$20</f>
        <v>32304000</v>
      </c>
      <c r="M10" s="149">
        <f>'Benefit Detail'!$D$20</f>
        <v>32304000</v>
      </c>
      <c r="N10" s="149">
        <f>'Benefit Detail'!$D$20</f>
        <v>32304000</v>
      </c>
      <c r="O10" s="149">
        <f>'Benefit Detail'!$D$20</f>
        <v>32304000</v>
      </c>
      <c r="P10" s="149">
        <f>'Benefit Detail'!$D$20</f>
        <v>32304000</v>
      </c>
      <c r="Q10" s="149">
        <f>'Benefit Detail'!$D$20</f>
        <v>32304000</v>
      </c>
      <c r="R10" s="149">
        <f>'Benefit Detail'!$D$20</f>
        <v>32304000</v>
      </c>
      <c r="S10" s="149">
        <f>'Benefit Detail'!$D$20</f>
        <v>32304000</v>
      </c>
      <c r="T10" s="149">
        <f>'Benefit Detail'!$D$20</f>
        <v>32304000</v>
      </c>
      <c r="U10" s="149">
        <f>'Benefit Detail'!$D$20</f>
        <v>32304000</v>
      </c>
      <c r="V10" s="149">
        <f>'Benefit Detail'!$D$20</f>
        <v>32304000</v>
      </c>
      <c r="W10" s="149">
        <f>'Benefit Detail'!$D$20</f>
        <v>32304000</v>
      </c>
      <c r="X10" s="149">
        <f>'Benefit Detail'!$D$20</f>
        <v>32304000</v>
      </c>
      <c r="Y10" s="149">
        <f>'Benefit Detail'!$D$20</f>
        <v>32304000</v>
      </c>
      <c r="Z10" s="149">
        <f>'Benefit Detail'!$D$20</f>
        <v>32304000</v>
      </c>
      <c r="AA10" s="149">
        <f>'Benefit Detail'!$D$20</f>
        <v>32304000</v>
      </c>
      <c r="AB10" s="149">
        <f>'Benefit Detail'!$D$20</f>
        <v>32304000</v>
      </c>
      <c r="AC10" s="149">
        <f>'Benefit Detail'!$D$20</f>
        <v>32304000</v>
      </c>
      <c r="AD10" s="149">
        <f>'Benefit Detail'!$D$20</f>
        <v>32304000</v>
      </c>
      <c r="AE10" s="149">
        <f>'Benefit Detail'!$D$20</f>
        <v>32304000</v>
      </c>
      <c r="AF10" s="149">
        <f>'Benefit Detail'!$D$20</f>
        <v>32304000</v>
      </c>
      <c r="AG10" s="149">
        <f>'Benefit Detail'!$D$20</f>
        <v>32304000</v>
      </c>
      <c r="AH10" s="149">
        <f>'Benefit Detail'!$D$20</f>
        <v>32304000</v>
      </c>
      <c r="AI10" s="149">
        <f>'Benefit Detail'!$D$20</f>
        <v>32304000</v>
      </c>
    </row>
    <row r="11" spans="1:35" x14ac:dyDescent="0.25">
      <c r="A11" s="53" t="s">
        <v>79</v>
      </c>
      <c r="B11" s="126">
        <f>NPV($C$2,D11:AI11)</f>
        <v>7045108.4782840945</v>
      </c>
      <c r="C11" s="123">
        <f t="shared" si="2"/>
        <v>26505000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f>'Benefit Detail'!$L$15/2</f>
        <v>589000</v>
      </c>
      <c r="L11" s="149">
        <f>'Benefit Detail'!$L$15/2</f>
        <v>589000</v>
      </c>
      <c r="M11" s="149">
        <f>'Benefit Detail'!$L$15/2</f>
        <v>589000</v>
      </c>
      <c r="N11" s="149">
        <f>'Benefit Detail'!$L$15/2</f>
        <v>589000</v>
      </c>
      <c r="O11" s="149">
        <f>'Benefit Detail'!$L$15/2</f>
        <v>589000</v>
      </c>
      <c r="P11" s="149">
        <f>'Benefit Detail'!$L$15</f>
        <v>1178000</v>
      </c>
      <c r="Q11" s="149">
        <f>'Benefit Detail'!$L$15</f>
        <v>1178000</v>
      </c>
      <c r="R11" s="149">
        <f>'Benefit Detail'!$L$15</f>
        <v>1178000</v>
      </c>
      <c r="S11" s="149">
        <f>'Benefit Detail'!$L$15</f>
        <v>1178000</v>
      </c>
      <c r="T11" s="149">
        <f>'Benefit Detail'!$L$15</f>
        <v>1178000</v>
      </c>
      <c r="U11" s="149">
        <f>'Benefit Detail'!$L$15</f>
        <v>1178000</v>
      </c>
      <c r="V11" s="149">
        <f>'Benefit Detail'!$L$15</f>
        <v>1178000</v>
      </c>
      <c r="W11" s="149">
        <f>'Benefit Detail'!$L$15</f>
        <v>1178000</v>
      </c>
      <c r="X11" s="149">
        <f>'Benefit Detail'!$L$15</f>
        <v>1178000</v>
      </c>
      <c r="Y11" s="149">
        <f>'Benefit Detail'!$L$15</f>
        <v>1178000</v>
      </c>
      <c r="Z11" s="149">
        <f>'Benefit Detail'!$L$15</f>
        <v>1178000</v>
      </c>
      <c r="AA11" s="149">
        <f>'Benefit Detail'!$L$15</f>
        <v>1178000</v>
      </c>
      <c r="AB11" s="149">
        <f>'Benefit Detail'!$L$15</f>
        <v>1178000</v>
      </c>
      <c r="AC11" s="149">
        <f>'Benefit Detail'!$L$15</f>
        <v>1178000</v>
      </c>
      <c r="AD11" s="149">
        <f>'Benefit Detail'!$L$15</f>
        <v>1178000</v>
      </c>
      <c r="AE11" s="149">
        <f>'Benefit Detail'!$L$15</f>
        <v>1178000</v>
      </c>
      <c r="AF11" s="149">
        <f>'Benefit Detail'!$L$15</f>
        <v>1178000</v>
      </c>
      <c r="AG11" s="149">
        <f>'Benefit Detail'!$L$15</f>
        <v>1178000</v>
      </c>
      <c r="AH11" s="149">
        <f>'Benefit Detail'!$L$15</f>
        <v>1178000</v>
      </c>
      <c r="AI11" s="149">
        <f>'Benefit Detail'!$L$15</f>
        <v>1178000</v>
      </c>
    </row>
    <row r="12" spans="1:35" x14ac:dyDescent="0.25">
      <c r="A12" s="54" t="s">
        <v>80</v>
      </c>
      <c r="B12" s="125">
        <f>NPV($C$2,D12:AI12)</f>
        <v>3408923.4572342383</v>
      </c>
      <c r="C12" s="121">
        <f t="shared" si="2"/>
        <v>12825000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f>'Benefit Detail'!$L$16/2</f>
        <v>285000</v>
      </c>
      <c r="L12" s="149">
        <f>'Benefit Detail'!$L$16/2</f>
        <v>285000</v>
      </c>
      <c r="M12" s="149">
        <f>'Benefit Detail'!$L$16/2</f>
        <v>285000</v>
      </c>
      <c r="N12" s="149">
        <f>'Benefit Detail'!$L$16/2</f>
        <v>285000</v>
      </c>
      <c r="O12" s="149">
        <f>'Benefit Detail'!$L$16/2</f>
        <v>285000</v>
      </c>
      <c r="P12" s="149">
        <f>'Benefit Detail'!$L$16</f>
        <v>570000</v>
      </c>
      <c r="Q12" s="149">
        <f>'Benefit Detail'!$L$16</f>
        <v>570000</v>
      </c>
      <c r="R12" s="149">
        <f>'Benefit Detail'!$L$16</f>
        <v>570000</v>
      </c>
      <c r="S12" s="149">
        <f>'Benefit Detail'!$L$16</f>
        <v>570000</v>
      </c>
      <c r="T12" s="149">
        <f>'Benefit Detail'!$L$16</f>
        <v>570000</v>
      </c>
      <c r="U12" s="149">
        <f>'Benefit Detail'!$L$16</f>
        <v>570000</v>
      </c>
      <c r="V12" s="149">
        <f>'Benefit Detail'!$L$16</f>
        <v>570000</v>
      </c>
      <c r="W12" s="149">
        <f>'Benefit Detail'!$L$16</f>
        <v>570000</v>
      </c>
      <c r="X12" s="149">
        <f>'Benefit Detail'!$L$16</f>
        <v>570000</v>
      </c>
      <c r="Y12" s="149">
        <f>'Benefit Detail'!$L$16</f>
        <v>570000</v>
      </c>
      <c r="Z12" s="149">
        <f>'Benefit Detail'!$L$16</f>
        <v>570000</v>
      </c>
      <c r="AA12" s="149">
        <f>'Benefit Detail'!$L$16</f>
        <v>570000</v>
      </c>
      <c r="AB12" s="149">
        <f>'Benefit Detail'!$L$16</f>
        <v>570000</v>
      </c>
      <c r="AC12" s="149">
        <f>'Benefit Detail'!$L$16</f>
        <v>570000</v>
      </c>
      <c r="AD12" s="149">
        <f>'Benefit Detail'!$L$16</f>
        <v>570000</v>
      </c>
      <c r="AE12" s="149">
        <f>'Benefit Detail'!$L$16</f>
        <v>570000</v>
      </c>
      <c r="AF12" s="149">
        <f>'Benefit Detail'!$L$16</f>
        <v>570000</v>
      </c>
      <c r="AG12" s="149">
        <f>'Benefit Detail'!$L$16</f>
        <v>570000</v>
      </c>
      <c r="AH12" s="149">
        <f>'Benefit Detail'!$L$16</f>
        <v>570000</v>
      </c>
      <c r="AI12" s="149">
        <f>'Benefit Detail'!$L$16</f>
        <v>570000</v>
      </c>
    </row>
    <row r="13" spans="1:35" x14ac:dyDescent="0.25">
      <c r="A13" s="54" t="s">
        <v>81</v>
      </c>
      <c r="B13" s="125">
        <f>NPV($C$2,D13:AI13)</f>
        <v>1598130.8411214952</v>
      </c>
      <c r="C13" s="121">
        <f t="shared" si="2"/>
        <v>1710000</v>
      </c>
      <c r="D13" s="149"/>
      <c r="E13" s="149"/>
      <c r="F13" s="149"/>
      <c r="G13" s="149"/>
      <c r="H13" s="149"/>
      <c r="I13" s="149"/>
      <c r="J13" s="149"/>
      <c r="K13" s="149">
        <f>'Benefit Detail'!G25</f>
        <v>1710000</v>
      </c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</row>
    <row r="14" spans="1:35" x14ac:dyDescent="0.25">
      <c r="A14" s="53" t="s">
        <v>67</v>
      </c>
      <c r="B14" s="126">
        <f>NPV($C$2,D14:AI14)</f>
        <v>1671661.404074691</v>
      </c>
      <c r="C14" s="123">
        <f t="shared" ref="C14" si="3">SUM(D14:AI14)</f>
        <v>4837060.8000000026</v>
      </c>
      <c r="D14" s="149">
        <v>0</v>
      </c>
      <c r="E14" s="149">
        <v>0</v>
      </c>
      <c r="F14" s="149">
        <v>0</v>
      </c>
      <c r="G14" s="149">
        <f>'Benefit Detail'!$J$31</f>
        <v>166795.20000000001</v>
      </c>
      <c r="H14" s="149">
        <f>'Benefit Detail'!$J$31</f>
        <v>166795.20000000001</v>
      </c>
      <c r="I14" s="149">
        <f>'Benefit Detail'!$J$31</f>
        <v>166795.20000000001</v>
      </c>
      <c r="J14" s="149">
        <f>'Benefit Detail'!$J$31</f>
        <v>166795.20000000001</v>
      </c>
      <c r="K14" s="149">
        <f>'Benefit Detail'!$J$31</f>
        <v>166795.20000000001</v>
      </c>
      <c r="L14" s="149">
        <f>'Benefit Detail'!$J$31</f>
        <v>166795.20000000001</v>
      </c>
      <c r="M14" s="149">
        <f>'Benefit Detail'!$J$31</f>
        <v>166795.20000000001</v>
      </c>
      <c r="N14" s="149">
        <f>'Benefit Detail'!$J$31</f>
        <v>166795.20000000001</v>
      </c>
      <c r="O14" s="149">
        <f>'Benefit Detail'!$J$31</f>
        <v>166795.20000000001</v>
      </c>
      <c r="P14" s="149">
        <f>'Benefit Detail'!$J$31</f>
        <v>166795.20000000001</v>
      </c>
      <c r="Q14" s="149">
        <f>'Benefit Detail'!$J$31</f>
        <v>166795.20000000001</v>
      </c>
      <c r="R14" s="149">
        <f>'Benefit Detail'!$J$31</f>
        <v>166795.20000000001</v>
      </c>
      <c r="S14" s="149">
        <f>'Benefit Detail'!$J$31</f>
        <v>166795.20000000001</v>
      </c>
      <c r="T14" s="149">
        <f>'Benefit Detail'!$J$31</f>
        <v>166795.20000000001</v>
      </c>
      <c r="U14" s="149">
        <f>'Benefit Detail'!$J$31</f>
        <v>166795.20000000001</v>
      </c>
      <c r="V14" s="149">
        <f>'Benefit Detail'!$J$31</f>
        <v>166795.20000000001</v>
      </c>
      <c r="W14" s="149">
        <f>'Benefit Detail'!$J$31</f>
        <v>166795.20000000001</v>
      </c>
      <c r="X14" s="149">
        <f>'Benefit Detail'!$J$31</f>
        <v>166795.20000000001</v>
      </c>
      <c r="Y14" s="149">
        <f>'Benefit Detail'!$J$31</f>
        <v>166795.20000000001</v>
      </c>
      <c r="Z14" s="149">
        <f>'Benefit Detail'!$J$31</f>
        <v>166795.20000000001</v>
      </c>
      <c r="AA14" s="149">
        <f>'Benefit Detail'!$J$31</f>
        <v>166795.20000000001</v>
      </c>
      <c r="AB14" s="149">
        <f>'Benefit Detail'!$J$31</f>
        <v>166795.20000000001</v>
      </c>
      <c r="AC14" s="149">
        <f>'Benefit Detail'!$J$31</f>
        <v>166795.20000000001</v>
      </c>
      <c r="AD14" s="149">
        <f>'Benefit Detail'!$J$31</f>
        <v>166795.20000000001</v>
      </c>
      <c r="AE14" s="149">
        <f>'Benefit Detail'!$J$31</f>
        <v>166795.20000000001</v>
      </c>
      <c r="AF14" s="149">
        <f>'Benefit Detail'!$J$31</f>
        <v>166795.20000000001</v>
      </c>
      <c r="AG14" s="149">
        <f>'Benefit Detail'!$J$31</f>
        <v>166795.20000000001</v>
      </c>
      <c r="AH14" s="149">
        <f>'Benefit Detail'!$J$31</f>
        <v>166795.20000000001</v>
      </c>
      <c r="AI14" s="149">
        <f>'Benefit Detail'!$J$31</f>
        <v>166795.20000000001</v>
      </c>
    </row>
    <row r="15" spans="1:35" x14ac:dyDescent="0.25">
      <c r="A15" s="55" t="s">
        <v>5</v>
      </c>
      <c r="B15" s="125">
        <f>SUM(B10:B14)</f>
        <v>337482241.67251772</v>
      </c>
      <c r="C15" s="121">
        <f>SUM(C10:C14)</f>
        <v>982693060.79999995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</row>
    <row r="16" spans="1:35" x14ac:dyDescent="0.25">
      <c r="A16" s="50"/>
      <c r="B16" s="5"/>
      <c r="C16" s="6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</row>
    <row r="17" spans="1:35" x14ac:dyDescent="0.25">
      <c r="A17" s="56" t="s">
        <v>61</v>
      </c>
      <c r="B17" s="57">
        <f>B15/B7</f>
        <v>4.3205640448899665</v>
      </c>
      <c r="C17" s="58">
        <f>C15/C7</f>
        <v>5.4877303908561199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</row>
    <row r="18" spans="1:35" hidden="1" x14ac:dyDescent="0.25">
      <c r="C18" s="3">
        <f>SUM(F18:AI18)</f>
        <v>0</v>
      </c>
      <c r="F18" s="2">
        <f>F5/((1+$C$2)^(COUNT($D$3:F$3)))</f>
        <v>0</v>
      </c>
      <c r="G18" s="2">
        <f>G5/((1+$C$2)^(COUNT($D$3:G$3)))</f>
        <v>0</v>
      </c>
    </row>
    <row r="19" spans="1:35" hidden="1" x14ac:dyDescent="0.25">
      <c r="C19" s="3">
        <f>SUM(F19:AI19)</f>
        <v>51610690.679765776</v>
      </c>
      <c r="G19" s="2">
        <f>G6/((1+$C$2)^(COUNT($D$3:G$3)))</f>
        <v>2042028.8171356665</v>
      </c>
      <c r="H19" s="2">
        <f>H6/((1+$C$2)^(COUNT($D$3:H$3)))</f>
        <v>3816876.2937115259</v>
      </c>
      <c r="I19" s="2">
        <f>I6/((1+$C$2)^(COUNT($D$3:I$3)))</f>
        <v>3567174.1062724544</v>
      </c>
      <c r="J19" s="2">
        <f>J6/((1+$C$2)^(COUNT($D$3:J$3)))</f>
        <v>3333807.5759555646</v>
      </c>
      <c r="K19" s="2">
        <f>K6/((1+$C$2)^(COUNT($D$3:K$3)))</f>
        <v>3115708.0149117429</v>
      </c>
      <c r="L19" s="2">
        <f>L6/((1+$C$2)^(COUNT($D$3:L$3)))</f>
        <v>2911876.6494502267</v>
      </c>
      <c r="M19" s="2">
        <f>M6/((1+$C$2)^(COUNT($D$3:M$3)))</f>
        <v>2721380.0462151649</v>
      </c>
      <c r="N19" s="2">
        <f>N6/((1+$C$2)^(COUNT($D$3:N$3)))</f>
        <v>2543345.837584266</v>
      </c>
      <c r="O19" s="2">
        <f>O6/((1+$C$2)^(COUNT($D$3:O$3)))</f>
        <v>2376958.7267142679</v>
      </c>
      <c r="P19" s="2">
        <f>P6/((1+$C$2)^(COUNT($D$3:P$3)))</f>
        <v>2221456.7539385678</v>
      </c>
      <c r="Q19" s="2">
        <f>Q6/((1+$C$2)^(COUNT($D$3:Q$3)))</f>
        <v>2076127.8074192225</v>
      </c>
      <c r="R19" s="2">
        <f>R6/((1+$C$2)^(COUNT($D$3:R$3)))</f>
        <v>1940306.3620740394</v>
      </c>
      <c r="S19" s="2">
        <f>S6/((1+$C$2)^(COUNT($D$3:S$3)))</f>
        <v>1813370.4318448969</v>
      </c>
      <c r="T19" s="2">
        <f>T6/((1+$C$2)^(COUNT($D$3:T$3)))</f>
        <v>1694738.7213503709</v>
      </c>
      <c r="U19" s="2">
        <f>U6/((1+$C$2)^(COUNT($D$3:U$3)))</f>
        <v>1583867.9638788514</v>
      </c>
      <c r="V19" s="2">
        <f>V6/((1+$C$2)^(COUNT($D$3:V$3)))</f>
        <v>1480250.4335316366</v>
      </c>
      <c r="W19" s="2">
        <f>W6/((1+$C$2)^(COUNT($D$3:W$3)))</f>
        <v>1383411.620123025</v>
      </c>
      <c r="X19" s="2">
        <f>X6/((1+$C$2)^(COUNT($D$3:X$3)))</f>
        <v>1292908.0561897429</v>
      </c>
      <c r="Y19" s="2">
        <f>Y6/((1+$C$2)^(COUNT($D$3:Y$3)))</f>
        <v>1208325.2861586383</v>
      </c>
      <c r="Z19" s="2">
        <f>Z6/((1+$C$2)^(COUNT($D$3:Z$3)))</f>
        <v>1129275.9683725592</v>
      </c>
      <c r="AA19" s="2">
        <f>AA6/((1+$C$2)^(COUNT($D$3:AA$3)))</f>
        <v>1055398.1012827654</v>
      </c>
      <c r="AB19" s="2">
        <f>AB6/((1+$C$2)^(COUNT($D$3:AB$3)))</f>
        <v>986353.36568482744</v>
      </c>
      <c r="AC19" s="2">
        <f>AC6/((1+$C$2)^(COUNT($D$3:AC$3)))</f>
        <v>921825.57540638093</v>
      </c>
      <c r="AD19" s="2">
        <f>AD6/((1+$C$2)^(COUNT($D$3:AD$3)))</f>
        <v>861519.22935175768</v>
      </c>
      <c r="AE19" s="2">
        <f>AE6/((1+$C$2)^(COUNT($D$3:AE$3)))</f>
        <v>805158.15827267093</v>
      </c>
      <c r="AF19" s="2">
        <f>AF6/((1+$C$2)^(COUNT($D$3:AF$3)))</f>
        <v>752484.26006791671</v>
      </c>
      <c r="AG19" s="2">
        <f>AG6/((1+$C$2)^(COUNT($D$3:AG$3)))</f>
        <v>703256.31782048289</v>
      </c>
      <c r="AH19" s="2">
        <f>AH6/((1+$C$2)^(COUNT($D$3:AH$3)))</f>
        <v>657248.89515932975</v>
      </c>
      <c r="AI19" s="2">
        <f>AI6/((1+$C$2)^(COUNT($D$3:AI$3)))</f>
        <v>614251.30388722406</v>
      </c>
    </row>
    <row r="20" spans="1:35" hidden="1" x14ac:dyDescent="0.25">
      <c r="C20" s="3">
        <f>SUM(C18:C19)</f>
        <v>51610690.679765776</v>
      </c>
    </row>
    <row r="21" spans="1:35" hidden="1" x14ac:dyDescent="0.25"/>
    <row r="22" spans="1:35" hidden="1" x14ac:dyDescent="0.25"/>
    <row r="23" spans="1:35" hidden="1" x14ac:dyDescent="0.25">
      <c r="C23" s="3">
        <f>SUM(F23:AI23)</f>
        <v>323758417.49180347</v>
      </c>
      <c r="G23" s="2">
        <f>G10/((1+$C$2)^(COUNT($D$3:G$3)))</f>
        <v>24644566.929983255</v>
      </c>
      <c r="H23" s="2">
        <f>H10/((1+$C$2)^(COUNT($D$3:H$3)))</f>
        <v>23032305.542040423</v>
      </c>
      <c r="I23" s="2">
        <f>I10/((1+$C$2)^(COUNT($D$3:I$3)))</f>
        <v>21525519.19816862</v>
      </c>
      <c r="J23" s="2">
        <f>J10/((1+$C$2)^(COUNT($D$3:J$3)))</f>
        <v>20117307.661839832</v>
      </c>
      <c r="K23" s="2">
        <f>K10/((1+$C$2)^(COUNT($D$3:K$3)))</f>
        <v>18801222.113869</v>
      </c>
      <c r="L23" s="2">
        <f>L10/((1+$C$2)^(COUNT($D$3:L$3)))</f>
        <v>17571235.620438319</v>
      </c>
      <c r="M23" s="2">
        <f>M10/((1+$C$2)^(COUNT($D$3:M$3)))</f>
        <v>16421715.533119924</v>
      </c>
      <c r="N23" s="2">
        <f>N10/((1+$C$2)^(COUNT($D$3:N$3)))</f>
        <v>15347397.6945046</v>
      </c>
      <c r="O23" s="2">
        <f>O10/((1+$C$2)^(COUNT($D$3:O$3)))</f>
        <v>14343362.331312712</v>
      </c>
      <c r="P23" s="2">
        <f>P10/((1+$C$2)^(COUNT($D$3:P$3)))</f>
        <v>13405011.524591319</v>
      </c>
      <c r="Q23" s="2">
        <f>Q10/((1+$C$2)^(COUNT($D$3:Q$3)))</f>
        <v>12528048.153823664</v>
      </c>
      <c r="R23" s="2">
        <f>R10/((1+$C$2)^(COUNT($D$3:R$3)))</f>
        <v>11708456.218526786</v>
      </c>
      <c r="S23" s="2">
        <f>S10/((1+$C$2)^(COUNT($D$3:S$3)))</f>
        <v>10942482.447221298</v>
      </c>
      <c r="T23" s="2">
        <f>T10/((1+$C$2)^(COUNT($D$3:T$3)))</f>
        <v>10226619.109552614</v>
      </c>
      <c r="U23" s="2">
        <f>U10/((1+$C$2)^(COUNT($D$3:U$3)))</f>
        <v>9557587.9528529104</v>
      </c>
      <c r="V23" s="2">
        <f>V10/((1+$C$2)^(COUNT($D$3:V$3)))</f>
        <v>8932325.1895821597</v>
      </c>
      <c r="W23" s="2">
        <f>W10/((1+$C$2)^(COUNT($D$3:W$3)))</f>
        <v>8347967.4668992143</v>
      </c>
      <c r="X23" s="2">
        <f>X10/((1+$C$2)^(COUNT($D$3:X$3)))</f>
        <v>7801838.7541114148</v>
      </c>
      <c r="Y23" s="2">
        <f>Y10/((1+$C$2)^(COUNT($D$3:Y$3)))</f>
        <v>7291438.0879545938</v>
      </c>
      <c r="Z23" s="2">
        <f>Z10/((1+$C$2)^(COUNT($D$3:Z$3)))</f>
        <v>6814428.1195837324</v>
      </c>
      <c r="AA23" s="2">
        <f>AA10/((1+$C$2)^(COUNT($D$3:AA$3)))</f>
        <v>6368624.4108259175</v>
      </c>
      <c r="AB23" s="2">
        <f>AB10/((1+$C$2)^(COUNT($D$3:AB$3)))</f>
        <v>5951985.4306784272</v>
      </c>
      <c r="AC23" s="2">
        <f>AC10/((1+$C$2)^(COUNT($D$3:AC$3)))</f>
        <v>5562603.2062415211</v>
      </c>
      <c r="AD23" s="2">
        <f>AD10/((1+$C$2)^(COUNT($D$3:AD$3)))</f>
        <v>5198694.5852724491</v>
      </c>
      <c r="AE23" s="2">
        <f>AE10/((1+$C$2)^(COUNT($D$3:AE$3)))</f>
        <v>4858593.070348084</v>
      </c>
      <c r="AF23" s="2">
        <f>AF10/((1+$C$2)^(COUNT($D$3:AF$3)))</f>
        <v>4540741.1872411994</v>
      </c>
      <c r="AG23" s="2">
        <f>AG10/((1+$C$2)^(COUNT($D$3:AG$3)))</f>
        <v>4243683.3525618687</v>
      </c>
      <c r="AH23" s="2">
        <f>AH10/((1+$C$2)^(COUNT($D$3:AH$3)))</f>
        <v>3966059.2080017459</v>
      </c>
      <c r="AI23" s="2">
        <f>AI10/((1+$C$2)^(COUNT($D$3:AI$3)))</f>
        <v>3706597.390655838</v>
      </c>
    </row>
    <row r="24" spans="1:35" hidden="1" x14ac:dyDescent="0.25">
      <c r="C24" s="3">
        <f>SUM(F24:AI24)</f>
        <v>7045108.4782841019</v>
      </c>
      <c r="G24" s="2">
        <f>G11/((1+$C$2)^(COUNT($D$3:G$3)))</f>
        <v>0</v>
      </c>
      <c r="H24" s="2">
        <f>H11/((1+$C$2)^(COUNT($D$3:H$3)))</f>
        <v>0</v>
      </c>
      <c r="I24" s="2">
        <f>I11/((1+$C$2)^(COUNT($D$3:I$3)))</f>
        <v>0</v>
      </c>
      <c r="J24" s="2">
        <f>J11/((1+$C$2)^(COUNT($D$3:J$3)))</f>
        <v>0</v>
      </c>
      <c r="K24" s="2">
        <f>K11/((1+$C$2)^(COUNT($D$3:K$3)))</f>
        <v>342803.36258880765</v>
      </c>
      <c r="L24" s="2">
        <f>L11/((1+$C$2)^(COUNT($D$3:L$3)))</f>
        <v>320376.9743820632</v>
      </c>
      <c r="M24" s="2">
        <f>M11/((1+$C$2)^(COUNT($D$3:M$3)))</f>
        <v>299417.73306734877</v>
      </c>
      <c r="N24" s="2">
        <f>N11/((1+$C$2)^(COUNT($D$3:N$3)))</f>
        <v>279829.65707228857</v>
      </c>
      <c r="O24" s="2">
        <f>O11/((1+$C$2)^(COUNT($D$3:O$3)))</f>
        <v>261523.04399279307</v>
      </c>
      <c r="P24" s="2">
        <f>P11/((1+$C$2)^(COUNT($D$3:P$3)))</f>
        <v>488828.11961269734</v>
      </c>
      <c r="Q24" s="2">
        <f>Q11/((1+$C$2)^(COUNT($D$3:Q$3)))</f>
        <v>456848.70991840871</v>
      </c>
      <c r="R24" s="2">
        <f>R11/((1+$C$2)^(COUNT($D$3:R$3)))</f>
        <v>426961.41113869968</v>
      </c>
      <c r="S24" s="2">
        <f>S11/((1+$C$2)^(COUNT($D$3:S$3)))</f>
        <v>399029.35620439227</v>
      </c>
      <c r="T24" s="2">
        <f>T11/((1+$C$2)^(COUNT($D$3:T$3)))</f>
        <v>372924.63196672179</v>
      </c>
      <c r="U24" s="2">
        <f>U11/((1+$C$2)^(COUNT($D$3:U$3)))</f>
        <v>348527.69342684274</v>
      </c>
      <c r="V24" s="2">
        <f>V11/((1+$C$2)^(COUNT($D$3:V$3)))</f>
        <v>325726.81628676894</v>
      </c>
      <c r="W24" s="2">
        <f>W11/((1+$C$2)^(COUNT($D$3:W$3)))</f>
        <v>304417.58531473734</v>
      </c>
      <c r="X24" s="2">
        <f>X11/((1+$C$2)^(COUNT($D$3:X$3)))</f>
        <v>284502.41618199751</v>
      </c>
      <c r="Y24" s="2">
        <f>Y11/((1+$C$2)^(COUNT($D$3:Y$3)))</f>
        <v>265890.10858130606</v>
      </c>
      <c r="Z24" s="2">
        <f>Z11/((1+$C$2)^(COUNT($D$3:Z$3)))</f>
        <v>248495.42858065988</v>
      </c>
      <c r="AA24" s="2">
        <f>AA11/((1+$C$2)^(COUNT($D$3:AA$3)))</f>
        <v>232238.71829968211</v>
      </c>
      <c r="AB24" s="2">
        <f>AB11/((1+$C$2)^(COUNT($D$3:AB$3)))</f>
        <v>217045.53112119823</v>
      </c>
      <c r="AC24" s="2">
        <f>AC11/((1+$C$2)^(COUNT($D$3:AC$3)))</f>
        <v>202846.290767475</v>
      </c>
      <c r="AD24" s="2">
        <f>AD11/((1+$C$2)^(COUNT($D$3:AD$3)))</f>
        <v>189575.97267988313</v>
      </c>
      <c r="AE24" s="2">
        <f>AE11/((1+$C$2)^(COUNT($D$3:AE$3)))</f>
        <v>177173.80624288146</v>
      </c>
      <c r="AF24" s="2">
        <f>AF11/((1+$C$2)^(COUNT($D$3:AF$3)))</f>
        <v>165582.99648867425</v>
      </c>
      <c r="AG24" s="2">
        <f>AG11/((1+$C$2)^(COUNT($D$3:AG$3)))</f>
        <v>154750.46400810679</v>
      </c>
      <c r="AH24" s="2">
        <f>AH11/((1+$C$2)^(COUNT($D$3:AH$3)))</f>
        <v>144626.60187673528</v>
      </c>
      <c r="AI24" s="2">
        <f>AI11/((1+$C$2)^(COUNT($D$3:AI$3)))</f>
        <v>135165.0484829302</v>
      </c>
    </row>
    <row r="25" spans="1:35" hidden="1" x14ac:dyDescent="0.25">
      <c r="C25" s="3">
        <f>SUM(F25:AI25)</f>
        <v>3408923.457234242</v>
      </c>
      <c r="G25" s="2">
        <f>G12/((1+$C$2)^(COUNT($D$3:G$3)))</f>
        <v>0</v>
      </c>
      <c r="H25" s="2">
        <f>H12/((1+$C$2)^(COUNT($D$3:H$3)))</f>
        <v>0</v>
      </c>
      <c r="I25" s="2">
        <f>I12/((1+$C$2)^(COUNT($D$3:I$3)))</f>
        <v>0</v>
      </c>
      <c r="J25" s="2">
        <f>J12/((1+$C$2)^(COUNT($D$3:J$3)))</f>
        <v>0</v>
      </c>
      <c r="K25" s="2">
        <f>K12/((1+$C$2)^(COUNT($D$3:K$3)))</f>
        <v>165872.59480103594</v>
      </c>
      <c r="L25" s="2">
        <f>L12/((1+$C$2)^(COUNT($D$3:L$3)))</f>
        <v>155021.11663648218</v>
      </c>
      <c r="M25" s="2">
        <f>M12/((1+$C$2)^(COUNT($D$3:M$3)))</f>
        <v>144879.54825839458</v>
      </c>
      <c r="N25" s="2">
        <f>N12/((1+$C$2)^(COUNT($D$3:N$3)))</f>
        <v>135401.44697046219</v>
      </c>
      <c r="O25" s="2">
        <f>O12/((1+$C$2)^(COUNT($D$3:O$3)))</f>
        <v>126543.40838360955</v>
      </c>
      <c r="P25" s="2">
        <f>P12/((1+$C$2)^(COUNT($D$3:P$3)))</f>
        <v>236529.73529646645</v>
      </c>
      <c r="Q25" s="2">
        <f>Q12/((1+$C$2)^(COUNT($D$3:Q$3)))</f>
        <v>221055.82737987521</v>
      </c>
      <c r="R25" s="2">
        <f>R12/((1+$C$2)^(COUNT($D$3:R$3)))</f>
        <v>206594.231196145</v>
      </c>
      <c r="S25" s="2">
        <f>S12/((1+$C$2)^(COUNT($D$3:S$3)))</f>
        <v>193078.72074406079</v>
      </c>
      <c r="T25" s="2">
        <f>T12/((1+$C$2)^(COUNT($D$3:T$3)))</f>
        <v>180447.40256454278</v>
      </c>
      <c r="U25" s="2">
        <f>U12/((1+$C$2)^(COUNT($D$3:U$3)))</f>
        <v>168642.43230331101</v>
      </c>
      <c r="V25" s="2">
        <f>V12/((1+$C$2)^(COUNT($D$3:V$3)))</f>
        <v>157609.74981617852</v>
      </c>
      <c r="W25" s="2">
        <f>W12/((1+$C$2)^(COUNT($D$3:W$3)))</f>
        <v>147298.83160390516</v>
      </c>
      <c r="X25" s="2">
        <f>X12/((1+$C$2)^(COUNT($D$3:X$3)))</f>
        <v>137662.45944290201</v>
      </c>
      <c r="Y25" s="2">
        <f>Y12/((1+$C$2)^(COUNT($D$3:Y$3)))</f>
        <v>128656.50415224487</v>
      </c>
      <c r="Z25" s="2">
        <f>Z12/((1+$C$2)^(COUNT($D$3:Z$3)))</f>
        <v>120239.72350677091</v>
      </c>
      <c r="AA25" s="2">
        <f>AA12/((1+$C$2)^(COUNT($D$3:AA$3)))</f>
        <v>112373.57337081393</v>
      </c>
      <c r="AB25" s="2">
        <f>AB12/((1+$C$2)^(COUNT($D$3:AB$3)))</f>
        <v>105022.03118767656</v>
      </c>
      <c r="AC25" s="2">
        <f>AC12/((1+$C$2)^(COUNT($D$3:AC$3)))</f>
        <v>98151.43101652016</v>
      </c>
      <c r="AD25" s="2">
        <f>AD12/((1+$C$2)^(COUNT($D$3:AD$3)))</f>
        <v>91730.309361233769</v>
      </c>
      <c r="AE25" s="2">
        <f>AE12/((1+$C$2)^(COUNT($D$3:AE$3)))</f>
        <v>85729.261085265229</v>
      </c>
      <c r="AF25" s="2">
        <f>AF12/((1+$C$2)^(COUNT($D$3:AF$3)))</f>
        <v>80120.804752584314</v>
      </c>
      <c r="AG25" s="2">
        <f>AG12/((1+$C$2)^(COUNT($D$3:AG$3)))</f>
        <v>74879.256778116192</v>
      </c>
      <c r="AH25" s="2">
        <f>AH12/((1+$C$2)^(COUNT($D$3:AH$3)))</f>
        <v>69980.613811323536</v>
      </c>
      <c r="AI25" s="2">
        <f>AI12/((1+$C$2)^(COUNT($D$3:AI$3)))</f>
        <v>65402.442814321061</v>
      </c>
    </row>
    <row r="26" spans="1:35" hidden="1" x14ac:dyDescent="0.25">
      <c r="C26" s="3">
        <f>SUM(F26:AI26)</f>
        <v>1671661.4040746917</v>
      </c>
      <c r="G26" s="2">
        <f>G14/((1+$C$2)^(COUNT($D$3:G$3)))</f>
        <v>127247.25947250939</v>
      </c>
      <c r="H26" s="2">
        <f>H14/((1+$C$2)^(COUNT($D$3:H$3)))</f>
        <v>118922.67240421436</v>
      </c>
      <c r="I26" s="2">
        <f>I14/((1+$C$2)^(COUNT($D$3:I$3)))</f>
        <v>111142.68448991998</v>
      </c>
      <c r="J26" s="2">
        <f>J14/((1+$C$2)^(COUNT($D$3:J$3)))</f>
        <v>103871.66774758876</v>
      </c>
      <c r="K26" s="2">
        <f>K14/((1+$C$2)^(COUNT($D$3:K$3)))</f>
        <v>97076.324997746502</v>
      </c>
      <c r="L26" s="2">
        <f>L14/((1+$C$2)^(COUNT($D$3:L$3)))</f>
        <v>90725.537381071495</v>
      </c>
      <c r="M26" s="2">
        <f>M14/((1+$C$2)^(COUNT($D$3:M$3)))</f>
        <v>84790.221851468683</v>
      </c>
      <c r="N26" s="2">
        <f>N14/((1+$C$2)^(COUNT($D$3:N$3)))</f>
        <v>79243.197992026806</v>
      </c>
      <c r="O26" s="2">
        <f>O14/((1+$C$2)^(COUNT($D$3:O$3)))</f>
        <v>74059.063543950295</v>
      </c>
      <c r="P26" s="2">
        <f>P14/((1+$C$2)^(COUNT($D$3:P$3)))</f>
        <v>69214.078078458217</v>
      </c>
      <c r="Q26" s="2">
        <f>Q14/((1+$C$2)^(COUNT($D$3:Q$3)))</f>
        <v>64686.054278932912</v>
      </c>
      <c r="R26" s="2">
        <f>R14/((1+$C$2)^(COUNT($D$3:R$3)))</f>
        <v>60454.256335451311</v>
      </c>
      <c r="S26" s="2">
        <f>S14/((1+$C$2)^(COUNT($D$3:S$3)))</f>
        <v>56499.304986403105</v>
      </c>
      <c r="T26" s="2">
        <f>T14/((1+$C$2)^(COUNT($D$3:T$3)))</f>
        <v>52803.088772339353</v>
      </c>
      <c r="U26" s="2">
        <f>U14/((1+$C$2)^(COUNT($D$3:U$3)))</f>
        <v>49348.68109564425</v>
      </c>
      <c r="V26" s="2">
        <f>V14/((1+$C$2)^(COUNT($D$3:V$3)))</f>
        <v>46120.262706209578</v>
      </c>
      <c r="W26" s="2">
        <f>W14/((1+$C$2)^(COUNT($D$3:W$3)))</f>
        <v>43103.049258139792</v>
      </c>
      <c r="X26" s="2">
        <f>X14/((1+$C$2)^(COUNT($D$3:X$3)))</f>
        <v>40283.223605738123</v>
      </c>
      <c r="Y26" s="2">
        <f>Y14/((1+$C$2)^(COUNT($D$3:Y$3)))</f>
        <v>37647.872528727217</v>
      </c>
      <c r="Z26" s="2">
        <f>Z14/((1+$C$2)^(COUNT($D$3:Z$3)))</f>
        <v>35184.927596941328</v>
      </c>
      <c r="AA26" s="2">
        <f>AA14/((1+$C$2)^(COUNT($D$3:AA$3)))</f>
        <v>32883.109903683478</v>
      </c>
      <c r="AB26" s="2">
        <f>AB14/((1+$C$2)^(COUNT($D$3:AB$3)))</f>
        <v>30731.878414657458</v>
      </c>
      <c r="AC26" s="2">
        <f>AC14/((1+$C$2)^(COUNT($D$3:AC$3)))</f>
        <v>28721.381695941553</v>
      </c>
      <c r="AD26" s="2">
        <f>AD14/((1+$C$2)^(COUNT($D$3:AD$3)))</f>
        <v>26842.41279994537</v>
      </c>
      <c r="AE26" s="2">
        <f>AE14/((1+$C$2)^(COUNT($D$3:AE$3)))</f>
        <v>25086.367102752687</v>
      </c>
      <c r="AF26" s="2">
        <f>AF14/((1+$C$2)^(COUNT($D$3:AF$3)))</f>
        <v>23445.202899768865</v>
      </c>
      <c r="AG26" s="2">
        <f>AG14/((1+$C$2)^(COUNT($D$3:AG$3)))</f>
        <v>21911.404579223239</v>
      </c>
      <c r="AH26" s="2">
        <f>AH14/((1+$C$2)^(COUNT($D$3:AH$3)))</f>
        <v>20477.94820488153</v>
      </c>
      <c r="AI26" s="2">
        <f>AI14/((1+$C$2)^(COUNT($D$3:AI$3)))</f>
        <v>19138.269350356572</v>
      </c>
    </row>
    <row r="27" spans="1:35" hidden="1" x14ac:dyDescent="0.25">
      <c r="C27" s="3">
        <f>SUM(C23:C26)</f>
        <v>335884110.83139652</v>
      </c>
    </row>
    <row r="28" spans="1:35" hidden="1" x14ac:dyDescent="0.25"/>
    <row r="29" spans="1:35" hidden="1" x14ac:dyDescent="0.25">
      <c r="C29">
        <f>C27/C20</f>
        <v>6.5080336342617775</v>
      </c>
    </row>
  </sheetData>
  <mergeCells count="1">
    <mergeCell ref="A1:C1"/>
  </mergeCells>
  <pageMargins left="0.7" right="0.7" top="0.75" bottom="0.75" header="0.3" footer="0.3"/>
  <pageSetup orientation="portrait"/>
  <extLst>
    <x:ext xmlns:x="http://schemas.openxmlformats.org/spreadsheetml/2006/main" xmlns:mx="http://schemas.microsoft.com/office/mac/excel/2008/main" uri="{64002731-A6B0-56B0-2670-7721B7C09600}">
      <mx:PLV Mode="0" OnePage="0" WScale="0"/>
    </x: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Cost Detail</vt:lpstr>
      <vt:lpstr>Benefit Detail</vt:lpstr>
      <vt:lpstr>Ratio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2018-07-17T20:44:49Z</dcterms:created>
  <dcterms:modified xsi:type="dcterms:W3CDTF">2018-07-17T20:44:50Z</dcterms:modified>
  <cp:category/>
  <cp:contentStatus/>
  <cp:version>0</cp:version>
</cp:coreProperties>
</file>